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3777C346-AF79-45F5-8887-AB411FC530FA}" xr6:coauthVersionLast="47" xr6:coauthVersionMax="47" xr10:uidLastSave="{00000000-0000-0000-0000-000000000000}"/>
  <bookViews>
    <workbookView xWindow="-108" yWindow="-108" windowWidth="23256" windowHeight="13896" xr2:uid="{00000000-000D-0000-FFFF-FFFF00000000}"/>
  </bookViews>
  <sheets>
    <sheet name="試算" sheetId="2" r:id="rId1"/>
    <sheet name="計算根拠" sheetId="3" state="hidden" r:id="rId2"/>
    <sheet name="所得額" sheetId="1" state="hidden" r:id="rId3"/>
  </sheets>
  <definedNames>
    <definedName name="_xlnm.Print_Area" localSheetId="1">計算根拠!$B$2:$U$43</definedName>
    <definedName name="_xlnm.Print_Area" localSheetId="0">試算!$B$2:$L$60</definedName>
    <definedName name="_xlnm.Print_Area" localSheetId="2">所得額!$A$2:$W$40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3" l="1"/>
  <c r="O28" i="3"/>
  <c r="O27" i="3"/>
  <c r="O26" i="3"/>
  <c r="O25" i="3"/>
  <c r="N25" i="3"/>
  <c r="N26" i="3"/>
  <c r="N27" i="3"/>
  <c r="N28" i="3"/>
  <c r="N29" i="3"/>
  <c r="J25" i="3"/>
  <c r="J26" i="3"/>
  <c r="J27" i="3"/>
  <c r="J28" i="3"/>
  <c r="J29" i="3"/>
  <c r="H29" i="3"/>
  <c r="H28" i="3"/>
  <c r="H27" i="3"/>
  <c r="H26" i="3"/>
  <c r="H25" i="3"/>
  <c r="D29" i="3"/>
  <c r="D28" i="3"/>
  <c r="D27" i="3"/>
  <c r="D26" i="3"/>
  <c r="D25" i="3"/>
  <c r="B16" i="1"/>
  <c r="C50" i="3"/>
  <c r="C46" i="3"/>
  <c r="C47" i="3"/>
  <c r="C48" i="3"/>
  <c r="C49" i="3"/>
  <c r="C45" i="3"/>
  <c r="D56" i="2"/>
  <c r="D55" i="2"/>
  <c r="K10" i="3"/>
  <c r="T20" i="3"/>
  <c r="I7" i="3"/>
  <c r="I6" i="3"/>
  <c r="E35" i="3"/>
  <c r="J7" i="3" s="1"/>
  <c r="G7" i="3"/>
  <c r="E9" i="3" l="1"/>
  <c r="D9" i="3"/>
  <c r="I9" i="3" l="1"/>
  <c r="I5" i="3"/>
  <c r="E34" i="3"/>
  <c r="J6" i="3" s="1"/>
  <c r="F7" i="3" l="1"/>
  <c r="C22" i="3" l="1"/>
  <c r="N23" i="1" s="1"/>
  <c r="E39" i="3" l="1"/>
  <c r="E7" i="3"/>
  <c r="D7" i="3"/>
  <c r="B19" i="1" l="1"/>
  <c r="B18" i="1" l="1"/>
  <c r="B15" i="1" l="1"/>
  <c r="I24" i="3" l="1"/>
  <c r="G40" i="3" l="1"/>
  <c r="G39" i="3"/>
  <c r="G38" i="3"/>
  <c r="E40" i="3"/>
  <c r="P36" i="3"/>
  <c r="N36" i="3"/>
  <c r="E38" i="3"/>
  <c r="P35" i="3"/>
  <c r="N35" i="3"/>
  <c r="E37" i="3"/>
  <c r="J9" i="3" s="1"/>
  <c r="E29" i="3"/>
  <c r="G29" i="3" s="1"/>
  <c r="E36" i="3"/>
  <c r="J8" i="3" s="1"/>
  <c r="E33" i="3"/>
  <c r="I29" i="3"/>
  <c r="F29" i="3"/>
  <c r="C29" i="3"/>
  <c r="I28" i="3"/>
  <c r="F28" i="3"/>
  <c r="C28" i="3"/>
  <c r="I27" i="3"/>
  <c r="F27" i="3"/>
  <c r="K32" i="2" s="1"/>
  <c r="C27" i="3"/>
  <c r="I26" i="3"/>
  <c r="F26" i="3"/>
  <c r="K31" i="2" s="1"/>
  <c r="C26" i="3"/>
  <c r="I25" i="3"/>
  <c r="F25" i="3"/>
  <c r="K30" i="2" s="1"/>
  <c r="C25" i="3"/>
  <c r="F24" i="3"/>
  <c r="K29" i="2" s="1"/>
  <c r="C24" i="3"/>
  <c r="I23" i="3"/>
  <c r="F23" i="3"/>
  <c r="K28" i="2" s="1"/>
  <c r="C23" i="3"/>
  <c r="I22" i="3"/>
  <c r="F22" i="3"/>
  <c r="K27" i="2" s="1"/>
  <c r="S20" i="3"/>
  <c r="R20" i="3"/>
  <c r="Q20" i="3"/>
  <c r="I8" i="3"/>
  <c r="P8" i="3" l="1"/>
  <c r="P7" i="3"/>
  <c r="P6" i="3"/>
  <c r="O23" i="1"/>
  <c r="J5" i="3"/>
  <c r="E13" i="3" s="1"/>
  <c r="E41" i="3"/>
  <c r="S27" i="3"/>
  <c r="S24" i="3"/>
  <c r="Q29" i="3"/>
  <c r="R29" i="3"/>
  <c r="S29" i="3"/>
  <c r="T29" i="3"/>
  <c r="S28" i="3"/>
  <c r="S25" i="3"/>
  <c r="S26" i="3"/>
  <c r="F12" i="3"/>
  <c r="G13" i="3"/>
  <c r="G12" i="3"/>
  <c r="E12" i="3"/>
  <c r="D12" i="3"/>
  <c r="F13" i="3"/>
  <c r="I8" i="2"/>
  <c r="J10" i="3"/>
  <c r="J4" i="3"/>
  <c r="I6" i="2" s="1"/>
  <c r="E22" i="3"/>
  <c r="G22" i="3" s="1"/>
  <c r="E23" i="3"/>
  <c r="G23" i="3" s="1"/>
  <c r="E24" i="3"/>
  <c r="G24" i="3" s="1"/>
  <c r="E25" i="3"/>
  <c r="G25" i="3" s="1"/>
  <c r="E26" i="3"/>
  <c r="G26" i="3" s="1"/>
  <c r="E27" i="3"/>
  <c r="G27" i="3" s="1"/>
  <c r="E28" i="3"/>
  <c r="G28" i="3" s="1"/>
  <c r="Q23" i="1"/>
  <c r="T23" i="1"/>
  <c r="U23" i="1"/>
  <c r="R23" i="1"/>
  <c r="P23" i="1"/>
  <c r="S23" i="1"/>
  <c r="D13" i="3" l="1"/>
  <c r="K23" i="1"/>
  <c r="I23" i="1"/>
  <c r="N12" i="1" l="1"/>
  <c r="N16" i="1" s="1"/>
  <c r="N15" i="1" l="1"/>
  <c r="N19" i="1"/>
  <c r="N5" i="1"/>
  <c r="N18" i="1"/>
  <c r="N14" i="1"/>
  <c r="K34" i="2" l="1"/>
  <c r="K33" i="2"/>
  <c r="U12" i="1" l="1"/>
  <c r="U16" i="1" s="1"/>
  <c r="T12" i="1"/>
  <c r="T16" i="1" s="1"/>
  <c r="S12" i="1"/>
  <c r="S16" i="1" s="1"/>
  <c r="R12" i="1"/>
  <c r="R16" i="1" s="1"/>
  <c r="Q12" i="1"/>
  <c r="Q16" i="1" s="1"/>
  <c r="P12" i="1"/>
  <c r="P16" i="1" s="1"/>
  <c r="O12" i="1"/>
  <c r="O16" i="1" s="1"/>
  <c r="Q19" i="1" l="1"/>
  <c r="Q15" i="1"/>
  <c r="U19" i="1"/>
  <c r="U15" i="1"/>
  <c r="R19" i="1"/>
  <c r="R15" i="1"/>
  <c r="S19" i="1"/>
  <c r="S15" i="1"/>
  <c r="P19" i="1"/>
  <c r="P15" i="1"/>
  <c r="T19" i="1"/>
  <c r="T15" i="1"/>
  <c r="O15" i="1"/>
  <c r="O19" i="1"/>
  <c r="P5" i="1"/>
  <c r="P18" i="1"/>
  <c r="P14" i="1"/>
  <c r="T5" i="1"/>
  <c r="T18" i="1"/>
  <c r="T14" i="1"/>
  <c r="Q5" i="1"/>
  <c r="Q18" i="1"/>
  <c r="Q14" i="1"/>
  <c r="U5" i="1"/>
  <c r="U18" i="1"/>
  <c r="U14" i="1"/>
  <c r="R5" i="1"/>
  <c r="R14" i="1"/>
  <c r="R18" i="1"/>
  <c r="O5" i="1"/>
  <c r="O14" i="1"/>
  <c r="O18" i="1"/>
  <c r="S5" i="1"/>
  <c r="S18" i="1"/>
  <c r="S14" i="1"/>
  <c r="U26" i="1"/>
  <c r="T26" i="1"/>
  <c r="S26" i="1"/>
  <c r="S34" i="1" s="1"/>
  <c r="R26" i="1"/>
  <c r="Q26" i="1"/>
  <c r="P26" i="1"/>
  <c r="O26" i="1"/>
  <c r="N26" i="1"/>
  <c r="B40" i="1"/>
  <c r="B39" i="1"/>
  <c r="B38" i="1"/>
  <c r="B37" i="1"/>
  <c r="B32" i="1"/>
  <c r="B31" i="1"/>
  <c r="B30" i="1"/>
  <c r="B29" i="1"/>
  <c r="T34" i="1" l="1"/>
  <c r="U34" i="1"/>
  <c r="R34" i="1"/>
  <c r="Q34" i="1"/>
  <c r="P34" i="1"/>
  <c r="O34" i="1"/>
  <c r="N34" i="1"/>
  <c r="B17" i="1" l="1"/>
  <c r="O17" i="1" l="1"/>
  <c r="S17" i="1"/>
  <c r="T17" i="1"/>
  <c r="T9" i="1" s="1"/>
  <c r="T13" i="1" s="1"/>
  <c r="U17" i="1"/>
  <c r="U9" i="1" s="1"/>
  <c r="U13" i="1" s="1"/>
  <c r="P17" i="1"/>
  <c r="P9" i="1" s="1"/>
  <c r="P13" i="1" s="1"/>
  <c r="Q17" i="1"/>
  <c r="Q9" i="1" s="1"/>
  <c r="Q13" i="1" s="1"/>
  <c r="N17" i="1"/>
  <c r="N9" i="1" s="1"/>
  <c r="R17" i="1"/>
  <c r="R9" i="1"/>
  <c r="R13" i="1" s="1"/>
  <c r="S22" i="1"/>
  <c r="P22" i="1"/>
  <c r="T22" i="1"/>
  <c r="U22" i="1"/>
  <c r="R22" i="1"/>
  <c r="S9" i="1"/>
  <c r="S13" i="1" s="1"/>
  <c r="Q22" i="1"/>
  <c r="O22" i="1"/>
  <c r="O9" i="1"/>
  <c r="N22" i="1" l="1"/>
  <c r="N24" i="1" s="1"/>
  <c r="N40" i="1" s="1"/>
  <c r="D24" i="3"/>
  <c r="K29" i="3"/>
  <c r="L29" i="3" s="1"/>
  <c r="M29" i="3" s="1"/>
  <c r="N37" i="1" l="1"/>
  <c r="N38" i="1"/>
  <c r="N39" i="1"/>
  <c r="N30" i="1"/>
  <c r="N31" i="1"/>
  <c r="N32" i="1"/>
  <c r="N29" i="1"/>
  <c r="N36" i="1"/>
  <c r="N28" i="1"/>
  <c r="N35" i="1" l="1"/>
  <c r="N27" i="1"/>
  <c r="H22" i="3" s="1"/>
  <c r="N22" i="3" s="1"/>
  <c r="S24" i="1"/>
  <c r="S38" i="1" s="1"/>
  <c r="N10" i="1" l="1"/>
  <c r="N8" i="1" s="1"/>
  <c r="N13" i="1" s="1"/>
  <c r="S39" i="1"/>
  <c r="S32" i="1"/>
  <c r="S36" i="1"/>
  <c r="S31" i="1"/>
  <c r="S30" i="1"/>
  <c r="S37" i="1"/>
  <c r="S40" i="1"/>
  <c r="S29" i="1"/>
  <c r="S28" i="1"/>
  <c r="D22" i="3" l="1"/>
  <c r="J22" i="3" s="1"/>
  <c r="P22" i="3"/>
  <c r="S27" i="1"/>
  <c r="S35" i="1"/>
  <c r="O22" i="3" l="1"/>
  <c r="K22" i="3"/>
  <c r="U24" i="1"/>
  <c r="U39" i="1" s="1"/>
  <c r="O24" i="1"/>
  <c r="T24" i="1" l="1"/>
  <c r="T36" i="1" s="1"/>
  <c r="U38" i="1"/>
  <c r="U32" i="1"/>
  <c r="U37" i="1"/>
  <c r="U40" i="1"/>
  <c r="U28" i="1"/>
  <c r="U29" i="1"/>
  <c r="U30" i="1"/>
  <c r="U31" i="1"/>
  <c r="U36" i="1"/>
  <c r="O37" i="1"/>
  <c r="O39" i="1"/>
  <c r="O38" i="1"/>
  <c r="O32" i="1"/>
  <c r="O40" i="1"/>
  <c r="O28" i="1"/>
  <c r="O31" i="1"/>
  <c r="O36" i="1"/>
  <c r="O30" i="1"/>
  <c r="O29" i="1"/>
  <c r="T28" i="1"/>
  <c r="T39" i="1"/>
  <c r="T38" i="1"/>
  <c r="T37" i="1"/>
  <c r="T32" i="1"/>
  <c r="T29" i="1"/>
  <c r="P24" i="1"/>
  <c r="P40" i="1" s="1"/>
  <c r="L22" i="3"/>
  <c r="M22" i="3" s="1"/>
  <c r="Q22" i="3" s="1"/>
  <c r="K27" i="3"/>
  <c r="L27" i="3" s="1"/>
  <c r="M27" i="3" s="1"/>
  <c r="S10" i="1"/>
  <c r="S8" i="1" s="1"/>
  <c r="T27" i="3" l="1"/>
  <c r="Q27" i="3"/>
  <c r="R27" i="3"/>
  <c r="R22" i="3"/>
  <c r="T22" i="3"/>
  <c r="S22" i="3"/>
  <c r="T31" i="1"/>
  <c r="T40" i="1"/>
  <c r="T35" i="1" s="1"/>
  <c r="T30" i="1"/>
  <c r="U35" i="1"/>
  <c r="U27" i="1"/>
  <c r="Q24" i="1"/>
  <c r="O27" i="1"/>
  <c r="H23" i="3" s="1"/>
  <c r="N23" i="3" s="1"/>
  <c r="P31" i="1"/>
  <c r="P32" i="1"/>
  <c r="P30" i="1"/>
  <c r="P28" i="1"/>
  <c r="P38" i="1"/>
  <c r="P36" i="1"/>
  <c r="P29" i="1"/>
  <c r="P37" i="1"/>
  <c r="P39" i="1"/>
  <c r="O35" i="1"/>
  <c r="K28" i="3"/>
  <c r="L28" i="3" s="1"/>
  <c r="M28" i="3" s="1"/>
  <c r="P27" i="3"/>
  <c r="T27" i="1" l="1"/>
  <c r="R28" i="3"/>
  <c r="Q28" i="3"/>
  <c r="T28" i="3"/>
  <c r="P29" i="3"/>
  <c r="U10" i="1"/>
  <c r="U8" i="1" s="1"/>
  <c r="P28" i="3"/>
  <c r="P35" i="1"/>
  <c r="H24" i="3" s="1"/>
  <c r="R24" i="1"/>
  <c r="Q39" i="1"/>
  <c r="Q38" i="1"/>
  <c r="Q31" i="1"/>
  <c r="Q36" i="1"/>
  <c r="Q28" i="1"/>
  <c r="Q29" i="1"/>
  <c r="Q40" i="1"/>
  <c r="Q37" i="1"/>
  <c r="Q32" i="1"/>
  <c r="Q30" i="1"/>
  <c r="P27" i="1"/>
  <c r="N24" i="3" l="1"/>
  <c r="J24" i="3"/>
  <c r="O24" i="3" s="1"/>
  <c r="O10" i="1"/>
  <c r="T10" i="1"/>
  <c r="T8" i="1" s="1"/>
  <c r="P10" i="1"/>
  <c r="P8" i="1" s="1"/>
  <c r="Q35" i="1"/>
  <c r="R36" i="1"/>
  <c r="R37" i="1"/>
  <c r="R29" i="1"/>
  <c r="R31" i="1"/>
  <c r="R32" i="1"/>
  <c r="R38" i="1"/>
  <c r="R30" i="1"/>
  <c r="R39" i="1"/>
  <c r="R28" i="1"/>
  <c r="R40" i="1"/>
  <c r="Q27" i="1"/>
  <c r="P25" i="3" l="1"/>
  <c r="K24" i="3"/>
  <c r="L24" i="3" s="1"/>
  <c r="M24" i="3" s="1"/>
  <c r="O8" i="1"/>
  <c r="O13" i="1" s="1"/>
  <c r="R27" i="1"/>
  <c r="R35" i="1"/>
  <c r="D23" i="3" l="1"/>
  <c r="J23" i="3" s="1"/>
  <c r="O23" i="3" s="1"/>
  <c r="Q24" i="3"/>
  <c r="T24" i="3"/>
  <c r="R24" i="3"/>
  <c r="P26" i="3"/>
  <c r="P23" i="3"/>
  <c r="P24" i="3"/>
  <c r="Q10" i="1"/>
  <c r="Q8" i="1" s="1"/>
  <c r="K25" i="3"/>
  <c r="L25" i="3" s="1"/>
  <c r="M25" i="3" s="1"/>
  <c r="T25" i="3" l="1"/>
  <c r="Q25" i="3"/>
  <c r="R25" i="3"/>
  <c r="O30" i="3"/>
  <c r="K26" i="3"/>
  <c r="L26" i="3" s="1"/>
  <c r="M26" i="3" s="1"/>
  <c r="K23" i="3"/>
  <c r="L23" i="3" s="1"/>
  <c r="M23" i="3" s="1"/>
  <c r="S23" i="3" s="1"/>
  <c r="P30" i="3"/>
  <c r="Q34" i="3" s="1"/>
  <c r="R34" i="3" s="1"/>
  <c r="R10" i="1"/>
  <c r="R8" i="1" s="1"/>
  <c r="T26" i="3" l="1"/>
  <c r="R26" i="3"/>
  <c r="Q26" i="3"/>
  <c r="R23" i="3"/>
  <c r="Q23" i="3"/>
  <c r="T23" i="3"/>
  <c r="M30" i="3"/>
  <c r="J3" i="3" s="1"/>
  <c r="S30" i="3"/>
  <c r="P14" i="3" s="1"/>
  <c r="R30" i="3"/>
  <c r="O14" i="3" s="1"/>
  <c r="S34" i="3"/>
  <c r="Q35" i="3"/>
  <c r="R35" i="3" s="1"/>
  <c r="S35" i="3" s="1"/>
  <c r="Q36" i="3"/>
  <c r="R36" i="3" s="1"/>
  <c r="T30" i="3" l="1"/>
  <c r="G14" i="3" s="1"/>
  <c r="G15" i="3" s="1"/>
  <c r="G16" i="3" s="1"/>
  <c r="G17" i="3" s="1"/>
  <c r="Q30" i="3"/>
  <c r="D14" i="3" s="1"/>
  <c r="F14" i="3"/>
  <c r="F15" i="3" s="1"/>
  <c r="F16" i="3" s="1"/>
  <c r="F17" i="3" s="1"/>
  <c r="E14" i="3"/>
  <c r="E15" i="3" s="1"/>
  <c r="E16" i="3" s="1"/>
  <c r="E17" i="3" s="1"/>
  <c r="Q14" i="3" l="1"/>
  <c r="N14" i="3"/>
  <c r="D15" i="3"/>
  <c r="D16" i="3" s="1"/>
  <c r="D17" i="3" s="1"/>
  <c r="H17" i="3" s="1"/>
  <c r="S36" i="3"/>
  <c r="N4" i="3" s="1"/>
  <c r="N6" i="3" s="1"/>
  <c r="O8" i="3" l="1"/>
  <c r="N8" i="3"/>
  <c r="Q7" i="3"/>
  <c r="O7" i="3"/>
  <c r="N7" i="3"/>
  <c r="Q6" i="3"/>
  <c r="O6" i="3"/>
  <c r="Q8" i="3"/>
  <c r="Q10" i="3" s="1"/>
  <c r="P10" i="3"/>
  <c r="I7" i="2"/>
  <c r="Q13" i="3" l="1"/>
  <c r="Q12" i="3"/>
  <c r="Q15" i="3" s="1"/>
  <c r="Q16" i="3" s="1"/>
  <c r="F9" i="2" s="1"/>
  <c r="P12" i="3"/>
  <c r="P15" i="3" s="1"/>
  <c r="P13" i="3"/>
  <c r="O9" i="3"/>
  <c r="O10" i="3" s="1"/>
  <c r="N9" i="3"/>
  <c r="N10" i="3" s="1"/>
  <c r="N13" i="3" l="1"/>
  <c r="O12" i="3"/>
  <c r="N12" i="3"/>
  <c r="N15" i="3" s="1"/>
  <c r="N16" i="3" s="1"/>
  <c r="P16" i="3"/>
  <c r="F8" i="2" s="1"/>
  <c r="F6" i="2" l="1"/>
  <c r="O13" i="3"/>
  <c r="O15" i="3" s="1"/>
  <c r="O16" i="3" s="1"/>
  <c r="F7" i="2" s="1"/>
  <c r="R16" i="3" l="1"/>
  <c r="F5" i="2" s="1"/>
  <c r="F12" i="2" s="1"/>
  <c r="E12" i="2" s="1"/>
  <c r="D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0" authorId="0" shapeId="0" xr:uid="{00000000-0006-0000-0100-000001000000}">
      <text>
        <r>
          <rPr>
            <b/>
            <sz val="8"/>
            <color indexed="81"/>
            <rFont val="AR丸ゴシック体M"/>
            <family val="3"/>
            <charset val="128"/>
          </rPr>
          <t>次の条件のどちらかを満たす人数
・給与所得が 0円より多い
・雑所得(公的年金)－年金控除額が 0円より多い</t>
        </r>
      </text>
    </comment>
    <comment ref="R34" authorId="0" shapeId="0" xr:uid="{00000000-0006-0000-0100-000002000000}">
      <text>
        <r>
          <rPr>
            <b/>
            <sz val="7.5"/>
            <color indexed="81"/>
            <rFont val="AR P丸ゴシック体M"/>
            <family val="3"/>
            <charset val="128"/>
          </rPr>
          <t>43万円＋10万円×（給与所得者等の数-1）</t>
        </r>
      </text>
    </comment>
    <comment ref="R35" authorId="0" shapeId="0" xr:uid="{00000000-0006-0000-0100-000003000000}">
      <text>
        <r>
          <rPr>
            <b/>
            <sz val="7.5"/>
            <color indexed="81"/>
            <rFont val="AR P丸ゴシック体M"/>
            <family val="3"/>
            <charset val="128"/>
          </rPr>
          <t>43万円＋31.0千円×被保険者および特定同一世帯所属者数＋10万円×（給与所得者等の数-1）</t>
        </r>
      </text>
    </comment>
    <comment ref="R36" authorId="0" shapeId="0" xr:uid="{00000000-0006-0000-0100-000004000000}">
      <text>
        <r>
          <rPr>
            <b/>
            <sz val="7.5"/>
            <color indexed="81"/>
            <rFont val="AR P丸ゴシック体M"/>
            <family val="3"/>
            <charset val="128"/>
          </rPr>
          <t>43万円＋57.0千円×被保険者および特定同一世帯所属者数＋10万円×（給与所得者等の数-1）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200-000001000000}">
      <text>
        <r>
          <rPr>
            <sz val="8"/>
            <color indexed="81"/>
            <rFont val="AR丸ゴシック体M"/>
            <family val="3"/>
            <charset val="128"/>
          </rPr>
          <t>給与等の収入金額が 850万円を超える居住者で次のいずれかに該当する場合に適用
1 本人が特別障害者に該当する場合
2 年齢23歳未満の扶養親族がいる場合
3 特別障害者である同一生計配偶者もしくは扶養親族がいる場合
　給与所得の金額－{(給与等の収入金額(※1)－850万円)×10%｝
　</t>
        </r>
        <r>
          <rPr>
            <sz val="7.5"/>
            <color indexed="81"/>
            <rFont val="AR丸ゴシック体M"/>
            <family val="3"/>
            <charset val="128"/>
          </rPr>
          <t>※1 給与等の収入金額が 1,000万円を超える場合は 1,000万円とする。</t>
        </r>
      </text>
    </comment>
    <comment ref="H7" authorId="0" shapeId="0" xr:uid="{00000000-0006-0000-0200-000002000000}">
      <text>
        <r>
          <rPr>
            <sz val="8"/>
            <color indexed="81"/>
            <rFont val="AR丸ゴシック体M"/>
            <family val="3"/>
            <charset val="128"/>
          </rPr>
          <t>給与所得控除後の給与等の金額および公的年金等に係る雑所得の金額がある居住者で、給与所得控除後の給与等の金額および公的年金等に係る雑所得の金額の合計が10万円を超える場合に適用
　給与所得の金額(※2)－(給与所得控除後の給与等の金額(※1)＋公的年金等に係る雑所得の金額(※1)-10万円）
　</t>
        </r>
        <r>
          <rPr>
            <sz val="7.5"/>
            <color indexed="81"/>
            <rFont val="AR丸ゴシック体M"/>
            <family val="3"/>
            <charset val="128"/>
          </rPr>
          <t>※1 それぞれ10万円を超える場合は 10万円とする。
　※2 調整控除①の適用がある場合は、その適用後の金額</t>
        </r>
      </text>
    </comment>
    <comment ref="N8" authorId="0" shapeId="0" xr:uid="{00000000-0006-0000-0200-000003000000}">
      <text>
        <r>
          <rPr>
            <b/>
            <sz val="8"/>
            <color indexed="81"/>
            <rFont val="AR丸ゴシック体M"/>
            <family val="3"/>
            <charset val="128"/>
          </rPr>
          <t>【調整控除算出条件】</t>
        </r>
        <r>
          <rPr>
            <sz val="8"/>
            <color indexed="81"/>
            <rFont val="AR丸ゴシック体M"/>
            <family val="3"/>
            <charset val="128"/>
          </rPr>
          <t xml:space="preserve">
条件１＿控除額が0円になる場合
　IF(OR(SUM(N$9:N$10)&lt;=100000,N9=0,N10=0),0,
　　①_給与所得と年金所得の合計額が10万円以下
　　②_給与所得が0円
　　③_年金所得が0円
条件２＿給与所得または年金所得のどちらかが10万円までの場合
　IF(OR(N9&lt;100000,N10&lt;100000),MIN(N$9:N$10)+100000-100000,
　　　給与所得と年金所得を比較して少ない方の額に10万円を足して、10万円を引く
条件３＿給与所得と年金所得の合計が10万円から20万円までの場合
　IF(AND(SUM(N$9:N$10)&gt;100000,SUM(N$9:N$10)&lt;200000),SUM(N$9:N$10)-100000,
　　　給与所得と年金所得の合計額から10万円を引く
条件４＿それ以外の場合
　100000)))
　　　10万円を調整控除額とする。</t>
        </r>
      </text>
    </comment>
  </commentList>
</comments>
</file>

<file path=xl/sharedStrings.xml><?xml version="1.0" encoding="utf-8"?>
<sst xmlns="http://schemas.openxmlformats.org/spreadsheetml/2006/main" count="265" uniqueCount="211">
  <si>
    <t>～</t>
    <phoneticPr fontId="2"/>
  </si>
  <si>
    <t>加入者</t>
    <rPh sb="0" eb="2">
      <t>カニュウ</t>
    </rPh>
    <rPh sb="2" eb="3">
      <t>シャ</t>
    </rPh>
    <phoneticPr fontId="2"/>
  </si>
  <si>
    <t>世帯主</t>
    <rPh sb="0" eb="3">
      <t>セタイヌシ</t>
    </rPh>
    <phoneticPr fontId="2"/>
  </si>
  <si>
    <t>その他所得</t>
    <rPh sb="2" eb="3">
      <t>タ</t>
    </rPh>
    <rPh sb="3" eb="5">
      <t>ショトク</t>
    </rPh>
    <phoneticPr fontId="2"/>
  </si>
  <si>
    <t>離職ｺｰﾄﾞ</t>
    <rPh sb="0" eb="2">
      <t>リショク</t>
    </rPh>
    <phoneticPr fontId="2"/>
  </si>
  <si>
    <t>※１</t>
    <phoneticPr fontId="2"/>
  </si>
  <si>
    <t>※２</t>
    <phoneticPr fontId="2"/>
  </si>
  <si>
    <t>※３</t>
    <phoneticPr fontId="2"/>
  </si>
  <si>
    <t>ただし、障害年金や遺族年金等の非課税年金は除きます。</t>
    <rPh sb="4" eb="6">
      <t>ショウガイ</t>
    </rPh>
    <rPh sb="6" eb="8">
      <t>ネンキン</t>
    </rPh>
    <rPh sb="9" eb="11">
      <t>イゾク</t>
    </rPh>
    <rPh sb="11" eb="13">
      <t>ネンキン</t>
    </rPh>
    <rPh sb="13" eb="14">
      <t>トウ</t>
    </rPh>
    <rPh sb="15" eb="18">
      <t>ヒカゼイ</t>
    </rPh>
    <rPh sb="18" eb="20">
      <t>ネンキン</t>
    </rPh>
    <rPh sb="21" eb="22">
      <t>ノゾ</t>
    </rPh>
    <phoneticPr fontId="2"/>
  </si>
  <si>
    <t>給与所得</t>
    <rPh sb="0" eb="2">
      <t>キュウヨ</t>
    </rPh>
    <rPh sb="2" eb="4">
      <t>ショトク</t>
    </rPh>
    <phoneticPr fontId="2"/>
  </si>
  <si>
    <t>収入額</t>
    <rPh sb="0" eb="2">
      <t>シュウニュウ</t>
    </rPh>
    <rPh sb="2" eb="3">
      <t>ガク</t>
    </rPh>
    <phoneticPr fontId="2"/>
  </si>
  <si>
    <t>所得額</t>
    <rPh sb="0" eb="2">
      <t>ショトク</t>
    </rPh>
    <rPh sb="2" eb="3">
      <t>ガク</t>
    </rPh>
    <phoneticPr fontId="2"/>
  </si>
  <si>
    <t>給与等の収入金額（税込み）</t>
    <rPh sb="0" eb="2">
      <t>キュウヨ</t>
    </rPh>
    <rPh sb="2" eb="3">
      <t>トウ</t>
    </rPh>
    <rPh sb="4" eb="6">
      <t>シュウニュウ</t>
    </rPh>
    <rPh sb="6" eb="8">
      <t>キンガク</t>
    </rPh>
    <rPh sb="9" eb="11">
      <t>ゼイコミ</t>
    </rPh>
    <phoneticPr fontId="2"/>
  </si>
  <si>
    <t>公的年金等の収入金額（税込み）</t>
    <rPh sb="0" eb="2">
      <t>コウテキ</t>
    </rPh>
    <rPh sb="2" eb="4">
      <t>ネンキン</t>
    </rPh>
    <rPh sb="4" eb="5">
      <t>トウ</t>
    </rPh>
    <rPh sb="6" eb="8">
      <t>シュウニュウ</t>
    </rPh>
    <rPh sb="8" eb="10">
      <t>キンガク</t>
    </rPh>
    <rPh sb="11" eb="13">
      <t>ゼイコミ</t>
    </rPh>
    <phoneticPr fontId="2"/>
  </si>
  <si>
    <t>≪ 65歳未満の方 ≫</t>
    <rPh sb="4" eb="7">
      <t>サイミマン</t>
    </rPh>
    <rPh sb="8" eb="9">
      <t>カタ</t>
    </rPh>
    <phoneticPr fontId="2"/>
  </si>
  <si>
    <t>≪ 65歳以上の方 ≫</t>
    <rPh sb="4" eb="7">
      <t>サイイジョウ</t>
    </rPh>
    <rPh sb="8" eb="9">
      <t>カタ</t>
    </rPh>
    <phoneticPr fontId="2"/>
  </si>
  <si>
    <t>世帯主</t>
    <rPh sb="0" eb="3">
      <t>セタイヌシ</t>
    </rPh>
    <phoneticPr fontId="2"/>
  </si>
  <si>
    <t>合計所得</t>
    <rPh sb="0" eb="2">
      <t>ゴウケイ</t>
    </rPh>
    <rPh sb="2" eb="4">
      <t>ショトク</t>
    </rPh>
    <phoneticPr fontId="2"/>
  </si>
  <si>
    <t>基準総所得</t>
    <rPh sb="0" eb="2">
      <t>キジュン</t>
    </rPh>
    <rPh sb="2" eb="5">
      <t>ソウショトク</t>
    </rPh>
    <phoneticPr fontId="2"/>
  </si>
  <si>
    <t>雑所得
(公的年金)</t>
    <rPh sb="0" eb="3">
      <t>ザツショトク</t>
    </rPh>
    <rPh sb="5" eb="7">
      <t>コウテキ</t>
    </rPh>
    <rPh sb="7" eb="9">
      <t>ネンキン</t>
    </rPh>
    <phoneticPr fontId="2"/>
  </si>
  <si>
    <t>軽減適用後</t>
    <rPh sb="0" eb="2">
      <t>ケイゲン</t>
    </rPh>
    <rPh sb="2" eb="4">
      <t>テキヨウ</t>
    </rPh>
    <rPh sb="4" eb="5">
      <t>ゴ</t>
    </rPh>
    <phoneticPr fontId="2"/>
  </si>
  <si>
    <t>通常分</t>
    <rPh sb="0" eb="2">
      <t>ツウジョウ</t>
    </rPh>
    <rPh sb="2" eb="3">
      <t>ブン</t>
    </rPh>
    <phoneticPr fontId="2"/>
  </si>
  <si>
    <t>開始</t>
    <rPh sb="0" eb="2">
      <t>カイシ</t>
    </rPh>
    <phoneticPr fontId="2"/>
  </si>
  <si>
    <t>終了</t>
    <rPh sb="0" eb="2">
      <t>シュウリョウ</t>
    </rPh>
    <phoneticPr fontId="2"/>
  </si>
  <si>
    <t>軽減判定</t>
    <rPh sb="0" eb="2">
      <t>ケイゲン</t>
    </rPh>
    <rPh sb="2" eb="4">
      <t>ハンテイ</t>
    </rPh>
    <phoneticPr fontId="2"/>
  </si>
  <si>
    <t>所得</t>
    <rPh sb="0" eb="2">
      <t>ショトク</t>
    </rPh>
    <phoneticPr fontId="2"/>
  </si>
  <si>
    <t>年金控除額</t>
    <rPh sb="0" eb="2">
      <t>ネンキン</t>
    </rPh>
    <rPh sb="2" eb="4">
      <t>コウジョ</t>
    </rPh>
    <rPh sb="4" eb="5">
      <t>ガク</t>
    </rPh>
    <phoneticPr fontId="2"/>
  </si>
  <si>
    <t>年齢
判定</t>
    <rPh sb="0" eb="2">
      <t>ネンレイ</t>
    </rPh>
    <rPh sb="3" eb="5">
      <t>ハンテイ</t>
    </rPh>
    <phoneticPr fontId="2"/>
  </si>
  <si>
    <t>40～64</t>
    <phoneticPr fontId="2"/>
  </si>
  <si>
    <t>65～74</t>
    <phoneticPr fontId="2"/>
  </si>
  <si>
    <t>別保険に加入中(65歳未満)</t>
    <rPh sb="0" eb="1">
      <t>ベツ</t>
    </rPh>
    <rPh sb="1" eb="3">
      <t>ホケン</t>
    </rPh>
    <rPh sb="4" eb="6">
      <t>カニュウ</t>
    </rPh>
    <rPh sb="6" eb="7">
      <t>チュウ</t>
    </rPh>
    <rPh sb="10" eb="11">
      <t>サイ</t>
    </rPh>
    <rPh sb="11" eb="13">
      <t>ミマン</t>
    </rPh>
    <phoneticPr fontId="2"/>
  </si>
  <si>
    <t>－</t>
    <phoneticPr fontId="2"/>
  </si>
  <si>
    <t>注意</t>
    <rPh sb="0" eb="2">
      <t>チュウイ</t>
    </rPh>
    <phoneticPr fontId="2"/>
  </si>
  <si>
    <t>年齢判定</t>
    <rPh sb="0" eb="2">
      <t>ネンレイ</t>
    </rPh>
    <rPh sb="2" eb="4">
      <t>ハンテイ</t>
    </rPh>
    <phoneticPr fontId="2"/>
  </si>
  <si>
    <t>非自発的失業者軽減対象者については、退職日の翌日の属する月からが軽減対象となります。</t>
    <rPh sb="0" eb="1">
      <t>ヒ</t>
    </rPh>
    <rPh sb="1" eb="4">
      <t>ジハツテキ</t>
    </rPh>
    <rPh sb="4" eb="6">
      <t>シツギョウ</t>
    </rPh>
    <rPh sb="6" eb="7">
      <t>シャ</t>
    </rPh>
    <rPh sb="7" eb="9">
      <t>ケイゲン</t>
    </rPh>
    <rPh sb="9" eb="12">
      <t>タイショウシャ</t>
    </rPh>
    <rPh sb="18" eb="20">
      <t>タイショク</t>
    </rPh>
    <rPh sb="20" eb="21">
      <t>ビ</t>
    </rPh>
    <rPh sb="22" eb="24">
      <t>ヨクジツ</t>
    </rPh>
    <rPh sb="25" eb="26">
      <t>ゾク</t>
    </rPh>
    <rPh sb="28" eb="29">
      <t>ツキ</t>
    </rPh>
    <rPh sb="32" eb="34">
      <t>ケイゲン</t>
    </rPh>
    <rPh sb="34" eb="36">
      <t>タイショウ</t>
    </rPh>
    <phoneticPr fontId="2"/>
  </si>
  <si>
    <t>介護納付金分</t>
    <rPh sb="0" eb="2">
      <t>カイゴ</t>
    </rPh>
    <rPh sb="2" eb="5">
      <t>ノウフキン</t>
    </rPh>
    <rPh sb="5" eb="6">
      <t>ブン</t>
    </rPh>
    <phoneticPr fontId="2"/>
  </si>
  <si>
    <t>非自発的失業者軽減</t>
    <rPh sb="0" eb="1">
      <t>ヒ</t>
    </rPh>
    <rPh sb="1" eb="3">
      <t>ジハツ</t>
    </rPh>
    <rPh sb="3" eb="4">
      <t>テキ</t>
    </rPh>
    <rPh sb="4" eb="7">
      <t>シツギョウシャ</t>
    </rPh>
    <rPh sb="7" eb="9">
      <t>ケイゲン</t>
    </rPh>
    <phoneticPr fontId="2"/>
  </si>
  <si>
    <t>適用開始日</t>
    <rPh sb="0" eb="2">
      <t>テキヨウ</t>
    </rPh>
    <rPh sb="2" eb="5">
      <t>カイシビ</t>
    </rPh>
    <phoneticPr fontId="2"/>
  </si>
  <si>
    <t>所得割</t>
    <rPh sb="0" eb="2">
      <t>ショトク</t>
    </rPh>
    <rPh sb="2" eb="3">
      <t>ワリ</t>
    </rPh>
    <phoneticPr fontId="2"/>
  </si>
  <si>
    <t>均等割</t>
    <rPh sb="0" eb="3">
      <t>キントウワ</t>
    </rPh>
    <phoneticPr fontId="2"/>
  </si>
  <si>
    <t>平等割</t>
    <rPh sb="0" eb="2">
      <t>ビョウドウ</t>
    </rPh>
    <rPh sb="2" eb="3">
      <t>ワリ</t>
    </rPh>
    <phoneticPr fontId="2"/>
  </si>
  <si>
    <t>医療給付費</t>
    <rPh sb="0" eb="2">
      <t>イリョウ</t>
    </rPh>
    <rPh sb="2" eb="4">
      <t>キュウフ</t>
    </rPh>
    <rPh sb="4" eb="5">
      <t>ヒ</t>
    </rPh>
    <phoneticPr fontId="2"/>
  </si>
  <si>
    <t>後期高齢者
支　援　分</t>
    <rPh sb="0" eb="2">
      <t>コウキ</t>
    </rPh>
    <rPh sb="2" eb="5">
      <t>コウレイシャ</t>
    </rPh>
    <rPh sb="6" eb="7">
      <t>シ</t>
    </rPh>
    <rPh sb="8" eb="9">
      <t>エン</t>
    </rPh>
    <rPh sb="10" eb="11">
      <t>ブン</t>
    </rPh>
    <phoneticPr fontId="2"/>
  </si>
  <si>
    <t>国保加入者</t>
    <rPh sb="0" eb="2">
      <t>コクホ</t>
    </rPh>
    <rPh sb="2" eb="5">
      <t>カニュウシャ</t>
    </rPh>
    <phoneticPr fontId="2"/>
  </si>
  <si>
    <t>基準総所得</t>
    <rPh sb="0" eb="2">
      <t>キジュン</t>
    </rPh>
    <rPh sb="2" eb="5">
      <t>ソウショトク</t>
    </rPh>
    <phoneticPr fontId="2"/>
  </si>
  <si>
    <t>軽減該当</t>
    <rPh sb="0" eb="2">
      <t>ケイゲン</t>
    </rPh>
    <rPh sb="2" eb="4">
      <t>ガイトウ</t>
    </rPh>
    <phoneticPr fontId="2"/>
  </si>
  <si>
    <t>定額</t>
    <rPh sb="0" eb="2">
      <t>テイガク</t>
    </rPh>
    <phoneticPr fontId="2"/>
  </si>
  <si>
    <t>判定額</t>
    <rPh sb="0" eb="2">
      <t>ハンテイ</t>
    </rPh>
    <rPh sb="2" eb="3">
      <t>ガク</t>
    </rPh>
    <phoneticPr fontId="2"/>
  </si>
  <si>
    <t>追加額</t>
    <rPh sb="0" eb="2">
      <t>ツイカ</t>
    </rPh>
    <rPh sb="2" eb="3">
      <t>ガク</t>
    </rPh>
    <phoneticPr fontId="2"/>
  </si>
  <si>
    <t>該当区分</t>
    <rPh sb="0" eb="2">
      <t>ガイトウ</t>
    </rPh>
    <rPh sb="2" eb="4">
      <t>クブン</t>
    </rPh>
    <phoneticPr fontId="2"/>
  </si>
  <si>
    <t>税額</t>
    <rPh sb="0" eb="2">
      <t>ゼイガク</t>
    </rPh>
    <phoneticPr fontId="2"/>
  </si>
  <si>
    <t>改め</t>
    <rPh sb="0" eb="1">
      <t>アラタ</t>
    </rPh>
    <phoneticPr fontId="2"/>
  </si>
  <si>
    <t>所得割額</t>
    <rPh sb="0" eb="2">
      <t>ショトク</t>
    </rPh>
    <rPh sb="2" eb="3">
      <t>ワリ</t>
    </rPh>
    <rPh sb="3" eb="4">
      <t>ガク</t>
    </rPh>
    <phoneticPr fontId="2"/>
  </si>
  <si>
    <t>均等割＋平等割</t>
    <rPh sb="0" eb="3">
      <t>キントウワ</t>
    </rPh>
    <rPh sb="4" eb="6">
      <t>ビョウドウ</t>
    </rPh>
    <rPh sb="6" eb="7">
      <t>ワリ</t>
    </rPh>
    <phoneticPr fontId="2"/>
  </si>
  <si>
    <t>「給与収入」欄には、源泉徴収票の額を入力してください。複数枚ある方は、収入額を合計して入力してください。</t>
    <rPh sb="1" eb="3">
      <t>キュウヨ</t>
    </rPh>
    <rPh sb="3" eb="5">
      <t>シュウニュウ</t>
    </rPh>
    <rPh sb="6" eb="7">
      <t>ラン</t>
    </rPh>
    <rPh sb="10" eb="12">
      <t>ゲンセン</t>
    </rPh>
    <rPh sb="12" eb="14">
      <t>チョウシュウ</t>
    </rPh>
    <rPh sb="14" eb="15">
      <t>ヒョウ</t>
    </rPh>
    <rPh sb="16" eb="17">
      <t>ガク</t>
    </rPh>
    <rPh sb="18" eb="20">
      <t>ニュウリョク</t>
    </rPh>
    <rPh sb="27" eb="29">
      <t>フクスウ</t>
    </rPh>
    <rPh sb="29" eb="30">
      <t>マイ</t>
    </rPh>
    <rPh sb="32" eb="33">
      <t>カタ</t>
    </rPh>
    <rPh sb="35" eb="37">
      <t>シュウニュウ</t>
    </rPh>
    <rPh sb="37" eb="38">
      <t>ガク</t>
    </rPh>
    <rPh sb="39" eb="41">
      <t>ゴウケイ</t>
    </rPh>
    <rPh sb="43" eb="45">
      <t>ニュウリョク</t>
    </rPh>
    <phoneticPr fontId="2"/>
  </si>
  <si>
    <t>「公的年金収入」欄には、源泉徴収票の額を入力してください。複数枚ある方は、収入額を合計して入力してください。</t>
    <rPh sb="1" eb="3">
      <t>コウテキ</t>
    </rPh>
    <rPh sb="3" eb="5">
      <t>ネンキン</t>
    </rPh>
    <rPh sb="5" eb="7">
      <t>シュウニュウ</t>
    </rPh>
    <rPh sb="8" eb="9">
      <t>ラン</t>
    </rPh>
    <rPh sb="12" eb="14">
      <t>ゲンセン</t>
    </rPh>
    <rPh sb="14" eb="16">
      <t>チョウシュウ</t>
    </rPh>
    <rPh sb="16" eb="17">
      <t>ヒョウ</t>
    </rPh>
    <rPh sb="18" eb="19">
      <t>ガク</t>
    </rPh>
    <rPh sb="20" eb="22">
      <t>ニュウリョク</t>
    </rPh>
    <rPh sb="29" eb="31">
      <t>フクスウ</t>
    </rPh>
    <rPh sb="31" eb="32">
      <t>マイ</t>
    </rPh>
    <rPh sb="34" eb="35">
      <t>カタ</t>
    </rPh>
    <rPh sb="37" eb="39">
      <t>シュウニュウ</t>
    </rPh>
    <rPh sb="39" eb="40">
      <t>ガク</t>
    </rPh>
    <rPh sb="41" eb="43">
      <t>ゴウケイ</t>
    </rPh>
    <rPh sb="45" eb="47">
      <t>ニュウリョク</t>
    </rPh>
    <phoneticPr fontId="2"/>
  </si>
  <si>
    <t>【 備　考 】</t>
    <rPh sb="2" eb="3">
      <t>ソナエ</t>
    </rPh>
    <rPh sb="4" eb="5">
      <t>コウ</t>
    </rPh>
    <phoneticPr fontId="2"/>
  </si>
  <si>
    <t>第１期</t>
    <rPh sb="0" eb="1">
      <t>ダイ</t>
    </rPh>
    <rPh sb="2" eb="3">
      <t>キ</t>
    </rPh>
    <phoneticPr fontId="2"/>
  </si>
  <si>
    <t>第２期から第１０期</t>
    <rPh sb="0" eb="1">
      <t>ダイ</t>
    </rPh>
    <rPh sb="2" eb="3">
      <t>キ</t>
    </rPh>
    <rPh sb="5" eb="6">
      <t>ダイ</t>
    </rPh>
    <rPh sb="8" eb="9">
      <t>キ</t>
    </rPh>
    <phoneticPr fontId="2"/>
  </si>
  <si>
    <t>各期の納付額</t>
    <rPh sb="0" eb="2">
      <t>カクキ</t>
    </rPh>
    <rPh sb="3" eb="5">
      <t>ノウフ</t>
    </rPh>
    <rPh sb="5" eb="6">
      <t>ガク</t>
    </rPh>
    <phoneticPr fontId="2"/>
  </si>
  <si>
    <t>【 加入者情報入力欄 】</t>
    <rPh sb="2" eb="4">
      <t>カニュウ</t>
    </rPh>
    <rPh sb="4" eb="5">
      <t>シャ</t>
    </rPh>
    <rPh sb="5" eb="7">
      <t>ジョウホウ</t>
    </rPh>
    <rPh sb="7" eb="9">
      <t>ニュウリョク</t>
    </rPh>
    <rPh sb="9" eb="10">
      <t>ラン</t>
    </rPh>
    <phoneticPr fontId="2"/>
  </si>
  <si>
    <t>※ 空白（無地）欄に入力してください。</t>
    <rPh sb="2" eb="4">
      <t>クウハク</t>
    </rPh>
    <rPh sb="5" eb="7">
      <t>ムジ</t>
    </rPh>
    <rPh sb="8" eb="9">
      <t>ラン</t>
    </rPh>
    <rPh sb="10" eb="12">
      <t>ニュウリョク</t>
    </rPh>
    <phoneticPr fontId="2"/>
  </si>
  <si>
    <t>_/_/ 計算根拠 _/_/</t>
    <rPh sb="5" eb="7">
      <t>ケイサン</t>
    </rPh>
    <rPh sb="7" eb="9">
      <t>コンキョ</t>
    </rPh>
    <phoneticPr fontId="2"/>
  </si>
  <si>
    <t>率</t>
    <rPh sb="0" eb="1">
      <t>リツ</t>
    </rPh>
    <phoneticPr fontId="2"/>
  </si>
  <si>
    <t>均等割 計</t>
    <rPh sb="0" eb="3">
      <t>キントウワ</t>
    </rPh>
    <rPh sb="4" eb="5">
      <t>ケイ</t>
    </rPh>
    <phoneticPr fontId="2"/>
  </si>
  <si>
    <t>均等割 計
＋平等割</t>
    <rPh sb="0" eb="3">
      <t>キントウワ</t>
    </rPh>
    <rPh sb="4" eb="5">
      <t>ケイ</t>
    </rPh>
    <rPh sb="7" eb="9">
      <t>ビョウドウ</t>
    </rPh>
    <rPh sb="9" eb="10">
      <t>ワリ</t>
    </rPh>
    <phoneticPr fontId="2"/>
  </si>
  <si>
    <t>通常分の30/100</t>
    <rPh sb="0" eb="2">
      <t>ツウジョウ</t>
    </rPh>
    <rPh sb="2" eb="3">
      <t>ブン</t>
    </rPh>
    <phoneticPr fontId="2"/>
  </si>
  <si>
    <t xml:space="preserve"> a</t>
    <phoneticPr fontId="2"/>
  </si>
  <si>
    <t xml:space="preserve"> b</t>
    <phoneticPr fontId="2"/>
  </si>
  <si>
    <t xml:space="preserve"> c</t>
    <phoneticPr fontId="2"/>
  </si>
  <si>
    <t xml:space="preserve"> d</t>
    <phoneticPr fontId="2"/>
  </si>
  <si>
    <t xml:space="preserve"> j</t>
    <phoneticPr fontId="2"/>
  </si>
  <si>
    <t xml:space="preserve"> k</t>
    <phoneticPr fontId="2"/>
  </si>
  <si>
    <t xml:space="preserve"> m</t>
    <phoneticPr fontId="2"/>
  </si>
  <si>
    <t>u</t>
    <phoneticPr fontId="2"/>
  </si>
  <si>
    <t>w</t>
    <phoneticPr fontId="2"/>
  </si>
  <si>
    <t>x</t>
    <phoneticPr fontId="2"/>
  </si>
  <si>
    <t xml:space="preserve"> g = e＋f</t>
    <phoneticPr fontId="2"/>
  </si>
  <si>
    <t xml:space="preserve"> h = gの100円未満切り捨て</t>
    <rPh sb="7" eb="11">
      <t>ヒャクエン</t>
    </rPh>
    <rPh sb="11" eb="13">
      <t>ミマン</t>
    </rPh>
    <rPh sb="13" eb="14">
      <t>キ</t>
    </rPh>
    <rPh sb="15" eb="16">
      <t>ス</t>
    </rPh>
    <phoneticPr fontId="2"/>
  </si>
  <si>
    <t>j</t>
    <phoneticPr fontId="2"/>
  </si>
  <si>
    <t xml:space="preserve"> q = n＋p</t>
    <phoneticPr fontId="2"/>
  </si>
  <si>
    <t xml:space="preserve"> s = q＋r</t>
    <phoneticPr fontId="2"/>
  </si>
  <si>
    <t xml:space="preserve"> t = sの100円未満切り捨て</t>
    <phoneticPr fontId="2"/>
  </si>
  <si>
    <t>年齢</t>
    <rPh sb="0" eb="2">
      <t>ネンレイ</t>
    </rPh>
    <phoneticPr fontId="2"/>
  </si>
  <si>
    <t>給与収入</t>
    <rPh sb="0" eb="2">
      <t>キュウヨ</t>
    </rPh>
    <rPh sb="2" eb="4">
      <t>シュウニュウ</t>
    </rPh>
    <phoneticPr fontId="2"/>
  </si>
  <si>
    <t>公的年金収入</t>
    <rPh sb="0" eb="2">
      <t>コウテキ</t>
    </rPh>
    <rPh sb="2" eb="4">
      <t>ネンキン</t>
    </rPh>
    <rPh sb="4" eb="6">
      <t>シュウニュウ</t>
    </rPh>
    <phoneticPr fontId="2"/>
  </si>
  <si>
    <t>非自発的失業者軽減対象者欄  ※５</t>
    <rPh sb="0" eb="1">
      <t>ヒ</t>
    </rPh>
    <rPh sb="1" eb="4">
      <t>ジハツテキ</t>
    </rPh>
    <rPh sb="4" eb="7">
      <t>シツギョウシャ</t>
    </rPh>
    <rPh sb="7" eb="9">
      <t>ケイゲン</t>
    </rPh>
    <rPh sb="9" eb="12">
      <t>タイショウシャ</t>
    </rPh>
    <rPh sb="12" eb="13">
      <t>ラン</t>
    </rPh>
    <phoneticPr fontId="2"/>
  </si>
  <si>
    <t>退職日</t>
    <rPh sb="0" eb="2">
      <t>タイショク</t>
    </rPh>
    <rPh sb="2" eb="3">
      <t>ビ</t>
    </rPh>
    <phoneticPr fontId="2"/>
  </si>
  <si>
    <t>適用期間</t>
    <rPh sb="0" eb="2">
      <t>テキヨウ</t>
    </rPh>
    <rPh sb="2" eb="4">
      <t>キカン</t>
    </rPh>
    <phoneticPr fontId="2"/>
  </si>
  <si>
    <t>※ 年度途中加入の場合は、上記額を 12か月で除算して加入月数を乗することで概算額を算定できます。</t>
    <rPh sb="2" eb="4">
      <t>ネンド</t>
    </rPh>
    <rPh sb="4" eb="6">
      <t>トチュウ</t>
    </rPh>
    <rPh sb="6" eb="8">
      <t>カニュウ</t>
    </rPh>
    <rPh sb="9" eb="11">
      <t>バアイ</t>
    </rPh>
    <rPh sb="13" eb="15">
      <t>ジョウキ</t>
    </rPh>
    <rPh sb="15" eb="16">
      <t>ガク</t>
    </rPh>
    <rPh sb="23" eb="25">
      <t>ジョサン</t>
    </rPh>
    <rPh sb="27" eb="29">
      <t>カニュウ</t>
    </rPh>
    <rPh sb="29" eb="30">
      <t>ツキ</t>
    </rPh>
    <rPh sb="30" eb="31">
      <t>スウ</t>
    </rPh>
    <rPh sb="32" eb="33">
      <t>ジョウ</t>
    </rPh>
    <rPh sb="38" eb="40">
      <t>ガイサン</t>
    </rPh>
    <rPh sb="40" eb="41">
      <t>ガク</t>
    </rPh>
    <rPh sb="42" eb="44">
      <t>サンテイ</t>
    </rPh>
    <phoneticPr fontId="2"/>
  </si>
  <si>
    <t>※ １月１日から５月１日までに65歳になる方は、上記金額から介護納付金分が不要となります。</t>
    <rPh sb="3" eb="4">
      <t>ガツ</t>
    </rPh>
    <rPh sb="5" eb="6">
      <t>ニチ</t>
    </rPh>
    <rPh sb="9" eb="10">
      <t>ガツ</t>
    </rPh>
    <rPh sb="11" eb="12">
      <t>ニチ</t>
    </rPh>
    <rPh sb="17" eb="18">
      <t>サイ</t>
    </rPh>
    <rPh sb="21" eb="22">
      <t>カタ</t>
    </rPh>
    <rPh sb="24" eb="26">
      <t>ジョウキ</t>
    </rPh>
    <rPh sb="26" eb="28">
      <t>キンガク</t>
    </rPh>
    <rPh sb="30" eb="32">
      <t>カイゴ</t>
    </rPh>
    <rPh sb="32" eb="35">
      <t>ノウフキン</t>
    </rPh>
    <rPh sb="35" eb="36">
      <t>ブン</t>
    </rPh>
    <rPh sb="37" eb="39">
      <t>フヨウ</t>
    </rPh>
    <phoneticPr fontId="2"/>
  </si>
  <si>
    <t>　 ５月２日以降に65歳になる方は、上記介護納付金分のうち、65歳になる前月分まで介護納付金分が必要です。</t>
    <rPh sb="3" eb="4">
      <t>ガツ</t>
    </rPh>
    <rPh sb="5" eb="6">
      <t>ニチ</t>
    </rPh>
    <rPh sb="6" eb="8">
      <t>イコウ</t>
    </rPh>
    <rPh sb="11" eb="12">
      <t>サイ</t>
    </rPh>
    <rPh sb="15" eb="16">
      <t>カタ</t>
    </rPh>
    <rPh sb="18" eb="20">
      <t>ジョウキ</t>
    </rPh>
    <rPh sb="20" eb="22">
      <t>カイゴ</t>
    </rPh>
    <rPh sb="22" eb="25">
      <t>ノウフキン</t>
    </rPh>
    <rPh sb="25" eb="26">
      <t>ブン</t>
    </rPh>
    <rPh sb="32" eb="33">
      <t>サイ</t>
    </rPh>
    <rPh sb="36" eb="39">
      <t>ゼンゲツブン</t>
    </rPh>
    <rPh sb="41" eb="43">
      <t>カイゴ</t>
    </rPh>
    <rPh sb="43" eb="46">
      <t>ノウフキン</t>
    </rPh>
    <rPh sb="46" eb="47">
      <t>ブン</t>
    </rPh>
    <rPh sb="48" eb="50">
      <t>ヒツヨウ</t>
    </rPh>
    <phoneticPr fontId="2"/>
  </si>
  <si>
    <t>※１</t>
    <phoneticPr fontId="2"/>
  </si>
  <si>
    <t>※２</t>
    <phoneticPr fontId="2"/>
  </si>
  <si>
    <t>※３</t>
    <phoneticPr fontId="2"/>
  </si>
  <si>
    <t>※４</t>
    <phoneticPr fontId="2"/>
  </si>
  <si>
    <t>調整額</t>
    <rPh sb="0" eb="2">
      <t>チョウセイ</t>
    </rPh>
    <rPh sb="2" eb="3">
      <t>ガク</t>
    </rPh>
    <phoneticPr fontId="2"/>
  </si>
  <si>
    <t>公的年金以外
の所得額</t>
    <rPh sb="0" eb="2">
      <t>コウテキ</t>
    </rPh>
    <rPh sb="2" eb="4">
      <t>ネンキン</t>
    </rPh>
    <rPh sb="4" eb="6">
      <t>イガイ</t>
    </rPh>
    <rPh sb="8" eb="11">
      <t>ショトクガク</t>
    </rPh>
    <phoneticPr fontId="2"/>
  </si>
  <si>
    <t>所得ランク</t>
    <rPh sb="0" eb="2">
      <t>ショトク</t>
    </rPh>
    <phoneticPr fontId="2"/>
  </si>
  <si>
    <t>基礎控除額</t>
    <rPh sb="0" eb="2">
      <t>キソ</t>
    </rPh>
    <rPh sb="2" eb="4">
      <t>コウジョ</t>
    </rPh>
    <rPh sb="4" eb="5">
      <t>ガク</t>
    </rPh>
    <phoneticPr fontId="2"/>
  </si>
  <si>
    <t>控除ランク</t>
    <rPh sb="0" eb="2">
      <t>コウジョ</t>
    </rPh>
    <phoneticPr fontId="2"/>
  </si>
  <si>
    <t>A</t>
    <phoneticPr fontId="2"/>
  </si>
  <si>
    <t>B</t>
    <phoneticPr fontId="2"/>
  </si>
  <si>
    <t>C</t>
    <phoneticPr fontId="2"/>
  </si>
  <si>
    <t>D</t>
    <phoneticPr fontId="2"/>
  </si>
  <si>
    <t>所得単位</t>
    <rPh sb="0" eb="2">
      <t>ショトク</t>
    </rPh>
    <rPh sb="2" eb="4">
      <t>タンイ</t>
    </rPh>
    <phoneticPr fontId="2"/>
  </si>
  <si>
    <t>基礎控除</t>
    <rPh sb="0" eb="2">
      <t>キソ</t>
    </rPh>
    <rPh sb="2" eb="4">
      <t>コウジョ</t>
    </rPh>
    <phoneticPr fontId="2"/>
  </si>
  <si>
    <t>ﾗﾝｸ</t>
    <phoneticPr fontId="2"/>
  </si>
  <si>
    <t>公的年金所得額</t>
    <rPh sb="0" eb="2">
      <t>コウテキ</t>
    </rPh>
    <rPh sb="2" eb="4">
      <t>ネンキン</t>
    </rPh>
    <rPh sb="4" eb="7">
      <t>ショトクガク</t>
    </rPh>
    <phoneticPr fontId="2"/>
  </si>
  <si>
    <t>算出給与所得額</t>
    <rPh sb="0" eb="2">
      <t>サンシュツ</t>
    </rPh>
    <rPh sb="2" eb="4">
      <t>キュウヨ</t>
    </rPh>
    <rPh sb="4" eb="6">
      <t>ショトク</t>
    </rPh>
    <rPh sb="6" eb="7">
      <t>ガク</t>
    </rPh>
    <phoneticPr fontId="2"/>
  </si>
  <si>
    <t>調整控除後
給与所得額</t>
    <rPh sb="0" eb="2">
      <t>チョウセイ</t>
    </rPh>
    <rPh sb="2" eb="4">
      <t>コウジョ</t>
    </rPh>
    <rPh sb="4" eb="5">
      <t>ゴ</t>
    </rPh>
    <rPh sb="6" eb="8">
      <t>キュウヨ</t>
    </rPh>
    <rPh sb="8" eb="10">
      <t>ショトク</t>
    </rPh>
    <rPh sb="10" eb="11">
      <t>ガク</t>
    </rPh>
    <phoneticPr fontId="2"/>
  </si>
  <si>
    <t>給与収入額</t>
    <rPh sb="0" eb="2">
      <t>キュウヨ</t>
    </rPh>
    <rPh sb="2" eb="4">
      <t>シュウニュウ</t>
    </rPh>
    <rPh sb="4" eb="5">
      <t>ガク</t>
    </rPh>
    <phoneticPr fontId="2"/>
  </si>
  <si>
    <t>いずれかに該当されますか
・本人が特別障害に該当する
・23歳未満の扶養親族がいる
・特別障害者である同一生計
　配偶者もしくは扶養親族が
　いる</t>
    <rPh sb="5" eb="7">
      <t>ガイトウ</t>
    </rPh>
    <rPh sb="14" eb="16">
      <t>ホンニン</t>
    </rPh>
    <rPh sb="17" eb="19">
      <t>トクベツ</t>
    </rPh>
    <rPh sb="19" eb="21">
      <t>ショウガイ</t>
    </rPh>
    <rPh sb="22" eb="24">
      <t>ガイトウ</t>
    </rPh>
    <rPh sb="30" eb="31">
      <t>サイ</t>
    </rPh>
    <rPh sb="31" eb="33">
      <t>ミマン</t>
    </rPh>
    <rPh sb="34" eb="36">
      <t>フヨウ</t>
    </rPh>
    <rPh sb="36" eb="38">
      <t>シンゾク</t>
    </rPh>
    <rPh sb="43" eb="45">
      <t>トクベツ</t>
    </rPh>
    <rPh sb="45" eb="48">
      <t>ショウガイシャ</t>
    </rPh>
    <rPh sb="51" eb="53">
      <t>ドウイツ</t>
    </rPh>
    <rPh sb="53" eb="55">
      <t>セイケイ</t>
    </rPh>
    <rPh sb="57" eb="60">
      <t>ハイグウシャ</t>
    </rPh>
    <rPh sb="64" eb="66">
      <t>フヨウ</t>
    </rPh>
    <rPh sb="66" eb="68">
      <t>シンゾク</t>
    </rPh>
    <phoneticPr fontId="2"/>
  </si>
  <si>
    <t>所得金額
調整控除②</t>
    <rPh sb="0" eb="2">
      <t>ショトク</t>
    </rPh>
    <rPh sb="2" eb="4">
      <t>キンガク</t>
    </rPh>
    <rPh sb="5" eb="7">
      <t>チョウセイ</t>
    </rPh>
    <rPh sb="7" eb="9">
      <t>コウジョ</t>
    </rPh>
    <phoneticPr fontId="2"/>
  </si>
  <si>
    <t>所得金額
調整控除①</t>
    <rPh sb="0" eb="2">
      <t>ショトク</t>
    </rPh>
    <rPh sb="2" eb="4">
      <t>キンガク</t>
    </rPh>
    <rPh sb="5" eb="7">
      <t>チョウセイ</t>
    </rPh>
    <rPh sb="7" eb="9">
      <t>コウジョ</t>
    </rPh>
    <phoneticPr fontId="2"/>
  </si>
  <si>
    <t>上限</t>
    <rPh sb="0" eb="2">
      <t>ジョウゲン</t>
    </rPh>
    <phoneticPr fontId="2"/>
  </si>
  <si>
    <t>下限</t>
    <rPh sb="0" eb="2">
      <t>カゲン</t>
    </rPh>
    <phoneticPr fontId="2"/>
  </si>
  <si>
    <t>■ 給与所得と年金所得の双方を有する者に対する所得金額調整控除</t>
    <rPh sb="2" eb="4">
      <t>キュウヨ</t>
    </rPh>
    <rPh sb="4" eb="6">
      <t>ショトク</t>
    </rPh>
    <rPh sb="7" eb="9">
      <t>ネンキン</t>
    </rPh>
    <rPh sb="9" eb="11">
      <t>ショトク</t>
    </rPh>
    <rPh sb="12" eb="14">
      <t>ソウホウ</t>
    </rPh>
    <rPh sb="15" eb="16">
      <t>ユウ</t>
    </rPh>
    <rPh sb="18" eb="19">
      <t>モノ</t>
    </rPh>
    <rPh sb="20" eb="21">
      <t>タイ</t>
    </rPh>
    <rPh sb="23" eb="25">
      <t>ショトク</t>
    </rPh>
    <rPh sb="25" eb="27">
      <t>キンガク</t>
    </rPh>
    <rPh sb="27" eb="29">
      <t>チョウセイ</t>
    </rPh>
    <rPh sb="29" eb="31">
      <t>コウジョ</t>
    </rPh>
    <phoneticPr fontId="2"/>
  </si>
  <si>
    <t xml:space="preserve"> 軽 減 基 準</t>
    <rPh sb="1" eb="2">
      <t>ケイ</t>
    </rPh>
    <rPh sb="3" eb="4">
      <t>ゲン</t>
    </rPh>
    <rPh sb="5" eb="6">
      <t>モト</t>
    </rPh>
    <rPh sb="7" eb="8">
      <t>ジュン</t>
    </rPh>
    <phoneticPr fontId="2"/>
  </si>
  <si>
    <t>a</t>
    <phoneticPr fontId="2"/>
  </si>
  <si>
    <t>b</t>
    <phoneticPr fontId="2"/>
  </si>
  <si>
    <t>d</t>
    <phoneticPr fontId="2"/>
  </si>
  <si>
    <t>g</t>
    <phoneticPr fontId="2"/>
  </si>
  <si>
    <t>■ 子ども・特別障害者等を有する者等の所得金額調整控除(給与所得が850万円未満の方は影響なし)</t>
    <rPh sb="2" eb="3">
      <t>コ</t>
    </rPh>
    <rPh sb="6" eb="8">
      <t>トクベツ</t>
    </rPh>
    <rPh sb="8" eb="12">
      <t>ショウガイシャトウ</t>
    </rPh>
    <rPh sb="13" eb="14">
      <t>ユウ</t>
    </rPh>
    <rPh sb="16" eb="17">
      <t>モノ</t>
    </rPh>
    <rPh sb="17" eb="18">
      <t>トウ</t>
    </rPh>
    <rPh sb="19" eb="21">
      <t>ショトク</t>
    </rPh>
    <rPh sb="21" eb="23">
      <t>キンガク</t>
    </rPh>
    <rPh sb="23" eb="25">
      <t>チョウセイ</t>
    </rPh>
    <rPh sb="25" eb="27">
      <t>コウジョ</t>
    </rPh>
    <rPh sb="28" eb="30">
      <t>キュウヨ</t>
    </rPh>
    <rPh sb="30" eb="32">
      <t>ショトク</t>
    </rPh>
    <rPh sb="36" eb="38">
      <t>マンエン</t>
    </rPh>
    <rPh sb="38" eb="40">
      <t>ミマン</t>
    </rPh>
    <rPh sb="41" eb="42">
      <t>カタ</t>
    </rPh>
    <rPh sb="43" eb="45">
      <t>エイキョウ</t>
    </rPh>
    <phoneticPr fontId="2"/>
  </si>
  <si>
    <t>c =f-a</t>
    <phoneticPr fontId="2"/>
  </si>
  <si>
    <t>e =c-b</t>
    <phoneticPr fontId="2"/>
  </si>
  <si>
    <t>h</t>
    <phoneticPr fontId="2"/>
  </si>
  <si>
    <t>給与所得者等の数</t>
    <rPh sb="0" eb="2">
      <t>キュウヨ</t>
    </rPh>
    <rPh sb="2" eb="4">
      <t>ショトク</t>
    </rPh>
    <rPh sb="4" eb="5">
      <t>シャ</t>
    </rPh>
    <rPh sb="5" eb="6">
      <t>トウ</t>
    </rPh>
    <rPh sb="7" eb="8">
      <t>カズ</t>
    </rPh>
    <phoneticPr fontId="2"/>
  </si>
  <si>
    <t>※ 給与所得者か年金所得者の多い方</t>
    <rPh sb="2" eb="4">
      <t>キュウヨ</t>
    </rPh>
    <rPh sb="4" eb="6">
      <t>ショトク</t>
    </rPh>
    <rPh sb="6" eb="7">
      <t>シャ</t>
    </rPh>
    <rPh sb="8" eb="10">
      <t>ネンキン</t>
    </rPh>
    <rPh sb="10" eb="12">
      <t>ショトク</t>
    </rPh>
    <rPh sb="12" eb="13">
      <t>シャ</t>
    </rPh>
    <rPh sb="14" eb="15">
      <t>オオ</t>
    </rPh>
    <rPh sb="16" eb="17">
      <t>ホウ</t>
    </rPh>
    <phoneticPr fontId="2"/>
  </si>
  <si>
    <t xml:space="preserve"> i = dとhを比較して少ない方</t>
    <rPh sb="9" eb="11">
      <t>ヒカク</t>
    </rPh>
    <rPh sb="13" eb="14">
      <t>スク</t>
    </rPh>
    <rPh sb="16" eb="17">
      <t>ホウ</t>
    </rPh>
    <phoneticPr fontId="2"/>
  </si>
  <si>
    <t>v</t>
    <phoneticPr fontId="2"/>
  </si>
  <si>
    <t>y</t>
    <phoneticPr fontId="2"/>
  </si>
  <si>
    <t>z</t>
    <phoneticPr fontId="2"/>
  </si>
  <si>
    <t>減算額</t>
    <rPh sb="0" eb="2">
      <t>ゲンサン</t>
    </rPh>
    <rPh sb="2" eb="3">
      <t>ガク</t>
    </rPh>
    <phoneticPr fontId="2"/>
  </si>
  <si>
    <t>固定値</t>
    <rPh sb="0" eb="3">
      <t>コテイチ</t>
    </rPh>
    <phoneticPr fontId="2"/>
  </si>
  <si>
    <t>仮計算のため、参考額として
御利用ください。</t>
    <rPh sb="0" eb="1">
      <t>カリ</t>
    </rPh>
    <rPh sb="1" eb="3">
      <t>ケイサン</t>
    </rPh>
    <rPh sb="7" eb="9">
      <t>サンコウ</t>
    </rPh>
    <rPh sb="9" eb="10">
      <t>ガク</t>
    </rPh>
    <rPh sb="14" eb="17">
      <t>ゴリヨウ</t>
    </rPh>
    <phoneticPr fontId="2"/>
  </si>
  <si>
    <r>
      <t xml:space="preserve">平等割
</t>
    </r>
    <r>
      <rPr>
        <b/>
        <sz val="7"/>
        <color theme="1"/>
        <rFont val="AR丸ゴシック体M"/>
        <family val="3"/>
        <charset val="128"/>
      </rPr>
      <t>(特定同一)</t>
    </r>
    <rPh sb="0" eb="2">
      <t>ビョウドウ</t>
    </rPh>
    <rPh sb="2" eb="3">
      <t>ワリ</t>
    </rPh>
    <rPh sb="5" eb="7">
      <t>トクテイ</t>
    </rPh>
    <rPh sb="7" eb="9">
      <t>ドウイツ</t>
    </rPh>
    <phoneticPr fontId="2"/>
  </si>
  <si>
    <t>別保険に加入中(65歳以上)</t>
    <phoneticPr fontId="2"/>
  </si>
  <si>
    <t xml:space="preserve"> b'</t>
    <phoneticPr fontId="2"/>
  </si>
  <si>
    <t>後期高齢加入中 (特同該当)</t>
    <rPh sb="2" eb="4">
      <t>コウレイ</t>
    </rPh>
    <phoneticPr fontId="2"/>
  </si>
  <si>
    <t>特定同一</t>
    <rPh sb="0" eb="2">
      <t>トクテイ</t>
    </rPh>
    <rPh sb="2" eb="4">
      <t>ドウイツ</t>
    </rPh>
    <phoneticPr fontId="2"/>
  </si>
  <si>
    <t>均等割＋平等割
(特定同一)</t>
    <rPh sb="0" eb="3">
      <t>キントウワ</t>
    </rPh>
    <rPh sb="4" eb="6">
      <t>ビョウドウ</t>
    </rPh>
    <rPh sb="6" eb="7">
      <t>ワリ</t>
    </rPh>
    <phoneticPr fontId="2"/>
  </si>
  <si>
    <t>均等割 計＋平等割
(特定同一)</t>
    <rPh sb="0" eb="3">
      <t>キントウワ</t>
    </rPh>
    <rPh sb="4" eb="5">
      <t>ケイ</t>
    </rPh>
    <rPh sb="6" eb="8">
      <t>ビョウドウ</t>
    </rPh>
    <rPh sb="8" eb="9">
      <t>ワリ</t>
    </rPh>
    <rPh sb="11" eb="13">
      <t>トクテイ</t>
    </rPh>
    <rPh sb="13" eb="15">
      <t>ドウイツ</t>
    </rPh>
    <phoneticPr fontId="2"/>
  </si>
  <si>
    <t xml:space="preserve"> e = b×K＋c (介護は_e = b×l＋c)</t>
    <rPh sb="12" eb="14">
      <t>カイゴ</t>
    </rPh>
    <phoneticPr fontId="2"/>
  </si>
  <si>
    <t xml:space="preserve"> e' = b'×K＋c (介護は_e' = b'×l＋c)</t>
    <phoneticPr fontId="2"/>
  </si>
  <si>
    <t xml:space="preserve"> 　　軽減判定用世帯合計所得　　350,000円＋250,000円＝600,000円　の場合</t>
    <rPh sb="3" eb="5">
      <t>ケイゲン</t>
    </rPh>
    <rPh sb="5" eb="8">
      <t>ハンテイヨウ</t>
    </rPh>
    <rPh sb="8" eb="10">
      <t>セタイ</t>
    </rPh>
    <rPh sb="10" eb="12">
      <t>ゴウケイ</t>
    </rPh>
    <rPh sb="12" eb="14">
      <t>ショトク</t>
    </rPh>
    <rPh sb="23" eb="24">
      <t>エン</t>
    </rPh>
    <rPh sb="32" eb="33">
      <t>エン</t>
    </rPh>
    <rPh sb="41" eb="42">
      <t>エン</t>
    </rPh>
    <rPh sb="44" eb="46">
      <t>バアイ</t>
    </rPh>
    <phoneticPr fontId="2"/>
  </si>
  <si>
    <t>&lt;例&gt; 世帯主：別保険加入(＝擬制世帯主)　給与所得350,000円　、　世帯員：１名国保加入　給与所得250,000円</t>
    <rPh sb="1" eb="2">
      <t>レイ</t>
    </rPh>
    <rPh sb="4" eb="7">
      <t>セタイヌシ</t>
    </rPh>
    <rPh sb="8" eb="9">
      <t>ベツ</t>
    </rPh>
    <rPh sb="9" eb="11">
      <t>ホケン</t>
    </rPh>
    <rPh sb="11" eb="13">
      <t>カニュウ</t>
    </rPh>
    <rPh sb="15" eb="17">
      <t>ギセイ</t>
    </rPh>
    <rPh sb="17" eb="20">
      <t>セタイヌシ</t>
    </rPh>
    <rPh sb="22" eb="24">
      <t>キュウヨ</t>
    </rPh>
    <rPh sb="24" eb="26">
      <t>ショトク</t>
    </rPh>
    <rPh sb="33" eb="34">
      <t>エン</t>
    </rPh>
    <rPh sb="37" eb="39">
      <t>セタイ</t>
    </rPh>
    <rPh sb="39" eb="40">
      <t>イン</t>
    </rPh>
    <rPh sb="42" eb="43">
      <t>メイ</t>
    </rPh>
    <rPh sb="43" eb="45">
      <t>コクホ</t>
    </rPh>
    <rPh sb="45" eb="47">
      <t>カニュウ</t>
    </rPh>
    <rPh sb="48" eb="50">
      <t>キュウヨ</t>
    </rPh>
    <rPh sb="50" eb="52">
      <t>ショトク</t>
    </rPh>
    <rPh sb="59" eb="60">
      <t>エン</t>
    </rPh>
    <phoneticPr fontId="2"/>
  </si>
  <si>
    <t>（★一定の給与所得者と公的年金等に係る所得を有する方）　（◆特定同一世帯所属者を含みます）</t>
    <rPh sb="2" eb="4">
      <t>イッテイ</t>
    </rPh>
    <rPh sb="5" eb="7">
      <t>キュウヨ</t>
    </rPh>
    <rPh sb="7" eb="9">
      <t>ショトク</t>
    </rPh>
    <rPh sb="9" eb="10">
      <t>シャ</t>
    </rPh>
    <rPh sb="11" eb="13">
      <t>コウテキ</t>
    </rPh>
    <rPh sb="13" eb="15">
      <t>ネンキン</t>
    </rPh>
    <rPh sb="15" eb="16">
      <t>トウ</t>
    </rPh>
    <rPh sb="17" eb="18">
      <t>カカ</t>
    </rPh>
    <rPh sb="19" eb="21">
      <t>ショトク</t>
    </rPh>
    <rPh sb="22" eb="23">
      <t>ユウ</t>
    </rPh>
    <rPh sb="25" eb="26">
      <t>カタ</t>
    </rPh>
    <rPh sb="30" eb="32">
      <t>トクテイ</t>
    </rPh>
    <rPh sb="32" eb="34">
      <t>ドウイツ</t>
    </rPh>
    <rPh sb="34" eb="36">
      <t>セタイ</t>
    </rPh>
    <rPh sb="36" eb="38">
      <t>ショゾク</t>
    </rPh>
    <rPh sb="38" eb="39">
      <t>シャ</t>
    </rPh>
    <rPh sb="40" eb="41">
      <t>フク</t>
    </rPh>
    <phoneticPr fontId="2"/>
  </si>
  <si>
    <r>
      <t>0～</t>
    </r>
    <r>
      <rPr>
        <b/>
        <sz val="8"/>
        <color theme="1"/>
        <rFont val="AR丸ゴシック体M"/>
        <family val="3"/>
        <charset val="128"/>
      </rPr>
      <t>未就学児</t>
    </r>
    <rPh sb="2" eb="5">
      <t>ミシュウガク</t>
    </rPh>
    <rPh sb="5" eb="6">
      <t>ジ</t>
    </rPh>
    <phoneticPr fontId="2"/>
  </si>
  <si>
    <t>均等割
(一般)</t>
    <rPh sb="0" eb="3">
      <t>キントウワ</t>
    </rPh>
    <rPh sb="5" eb="7">
      <t>イッパン</t>
    </rPh>
    <phoneticPr fontId="2"/>
  </si>
  <si>
    <t>均等割
(未就学児)</t>
    <rPh sb="0" eb="3">
      <t>キントウワ</t>
    </rPh>
    <rPh sb="5" eb="9">
      <t>ミシュウガクジ</t>
    </rPh>
    <phoneticPr fontId="2"/>
  </si>
  <si>
    <t xml:space="preserve"> n = b×(1-m×0.1)</t>
    <phoneticPr fontId="2"/>
  </si>
  <si>
    <t xml:space="preserve"> n' = b×(1-m×0.1)</t>
    <phoneticPr fontId="2"/>
  </si>
  <si>
    <t xml:space="preserve"> o = c×(1-m×0.1)</t>
    <phoneticPr fontId="2"/>
  </si>
  <si>
    <t xml:space="preserve"> q' = n'＋p</t>
    <phoneticPr fontId="2"/>
  </si>
  <si>
    <t xml:space="preserve"> o' = c×(1-m×0.1)÷2</t>
    <phoneticPr fontId="2"/>
  </si>
  <si>
    <t xml:space="preserve"> l_1</t>
    <phoneticPr fontId="2"/>
  </si>
  <si>
    <t xml:space="preserve"> l_2</t>
  </si>
  <si>
    <t xml:space="preserve"> l_3</t>
  </si>
  <si>
    <t xml:space="preserve"> l_4</t>
  </si>
  <si>
    <t>　※ 介護納付金は o×l_3 で計算。</t>
    <rPh sb="3" eb="8">
      <t>カイゴノウフキン</t>
    </rPh>
    <rPh sb="17" eb="19">
      <t>ケイサン</t>
    </rPh>
    <phoneticPr fontId="2"/>
  </si>
  <si>
    <t xml:space="preserve"> p = o×(l_2+l_3+l_4)+o'×l_1</t>
    <phoneticPr fontId="2"/>
  </si>
  <si>
    <t>―</t>
    <phoneticPr fontId="2"/>
  </si>
  <si>
    <t>軽減該当・非該当に関わらず半額</t>
    <rPh sb="0" eb="4">
      <t>ケイゲンガイトウ</t>
    </rPh>
    <rPh sb="5" eb="8">
      <t>ヒガイトウ</t>
    </rPh>
    <rPh sb="9" eb="10">
      <t>カカ</t>
    </rPh>
    <rPh sb="13" eb="15">
      <t>ハンガク</t>
    </rPh>
    <phoneticPr fontId="2"/>
  </si>
  <si>
    <t xml:space="preserve"> c'</t>
    <phoneticPr fontId="2"/>
  </si>
  <si>
    <t>　</t>
  </si>
  <si>
    <t>・事業専従者控除・専従者給与に該当する世帯の軽減判定に関しては反映していません。</t>
    <rPh sb="19" eb="21">
      <t>セタイ</t>
    </rPh>
    <rPh sb="22" eb="24">
      <t>ケイゲン</t>
    </rPh>
    <rPh sb="24" eb="26">
      <t>ハンテイ</t>
    </rPh>
    <rPh sb="27" eb="28">
      <t>カン</t>
    </rPh>
    <rPh sb="31" eb="33">
      <t>ハンエイ</t>
    </rPh>
    <phoneticPr fontId="2"/>
  </si>
  <si>
    <t>・所得に赤字がある場合や分離課税分の所得がある場合等は、正しく計算できないことがあります。</t>
    <rPh sb="1" eb="3">
      <t>ショトク</t>
    </rPh>
    <rPh sb="4" eb="6">
      <t>アカジ</t>
    </rPh>
    <rPh sb="9" eb="11">
      <t>バアイ</t>
    </rPh>
    <rPh sb="12" eb="14">
      <t>ブンリ</t>
    </rPh>
    <rPh sb="14" eb="16">
      <t>カゼイ</t>
    </rPh>
    <rPh sb="16" eb="17">
      <t>ブン</t>
    </rPh>
    <rPh sb="18" eb="20">
      <t>ショトク</t>
    </rPh>
    <rPh sb="23" eb="25">
      <t>バアイ</t>
    </rPh>
    <rPh sb="25" eb="26">
      <t>トウ</t>
    </rPh>
    <rPh sb="28" eb="29">
      <t>タダ</t>
    </rPh>
    <rPh sb="31" eb="33">
      <t>ケイサン</t>
    </rPh>
    <phoneticPr fontId="2"/>
  </si>
  <si>
    <t>R5加算額</t>
    <rPh sb="2" eb="5">
      <t>カサンガク</t>
    </rPh>
    <phoneticPr fontId="2"/>
  </si>
  <si>
    <t>軽減判定は世帯主（擬制世帯主を含む）と国民健康保険加入者の合計所得により判定し、３段階の軽減があります。</t>
    <rPh sb="5" eb="8">
      <t>セタイヌシ</t>
    </rPh>
    <rPh sb="9" eb="11">
      <t>ギセイ</t>
    </rPh>
    <rPh sb="11" eb="14">
      <t>セタイヌシ</t>
    </rPh>
    <rPh sb="15" eb="16">
      <t>フク</t>
    </rPh>
    <rPh sb="19" eb="21">
      <t>コクミン</t>
    </rPh>
    <rPh sb="21" eb="23">
      <t>ケンコウ</t>
    </rPh>
    <rPh sb="23" eb="25">
      <t>ホケン</t>
    </rPh>
    <rPh sb="25" eb="28">
      <t>カニュウシャ</t>
    </rPh>
    <rPh sb="29" eb="31">
      <t>ゴウケイ</t>
    </rPh>
    <rPh sb="31" eb="33">
      <t>ショトク</t>
    </rPh>
    <rPh sb="36" eb="38">
      <t>ハンテイ</t>
    </rPh>
    <rPh sb="41" eb="43">
      <t>ダンカイ</t>
    </rPh>
    <rPh sb="44" eb="46">
      <t>ケイゲン</t>
    </rPh>
    <phoneticPr fontId="2"/>
  </si>
  <si>
    <t>※ １月１日以降に40歳になる方は、上記金額に加えて介護納付金分が必要となります。</t>
    <rPh sb="3" eb="4">
      <t>ガツ</t>
    </rPh>
    <rPh sb="5" eb="6">
      <t>ニチ</t>
    </rPh>
    <rPh sb="6" eb="8">
      <t>イコウ</t>
    </rPh>
    <rPh sb="11" eb="12">
      <t>サイ</t>
    </rPh>
    <rPh sb="15" eb="16">
      <t>カタ</t>
    </rPh>
    <rPh sb="18" eb="20">
      <t>ジョウキ</t>
    </rPh>
    <rPh sb="20" eb="22">
      <t>キンガク</t>
    </rPh>
    <rPh sb="23" eb="24">
      <t>クワ</t>
    </rPh>
    <rPh sb="26" eb="28">
      <t>カイゴ</t>
    </rPh>
    <rPh sb="28" eb="31">
      <t>ノウフキン</t>
    </rPh>
    <rPh sb="31" eb="32">
      <t>ブン</t>
    </rPh>
    <rPh sb="33" eb="35">
      <t>ヒツヨウ</t>
    </rPh>
    <phoneticPr fontId="2"/>
  </si>
  <si>
    <t>・年度途中で加入者数や加入月数に変更がある場合等の事例や、加入者数が８人を超える場合の計算は保険年金課窓口にて相談ください。</t>
    <rPh sb="1" eb="3">
      <t>ネンド</t>
    </rPh>
    <rPh sb="3" eb="5">
      <t>トチュウ</t>
    </rPh>
    <rPh sb="6" eb="8">
      <t>カニュウ</t>
    </rPh>
    <rPh sb="8" eb="9">
      <t>シャ</t>
    </rPh>
    <rPh sb="9" eb="10">
      <t>スウ</t>
    </rPh>
    <rPh sb="11" eb="13">
      <t>カニュウ</t>
    </rPh>
    <rPh sb="13" eb="14">
      <t>ツキ</t>
    </rPh>
    <rPh sb="14" eb="15">
      <t>スウ</t>
    </rPh>
    <rPh sb="16" eb="18">
      <t>ヘンコウ</t>
    </rPh>
    <rPh sb="21" eb="23">
      <t>バアイ</t>
    </rPh>
    <rPh sb="23" eb="24">
      <t>トウ</t>
    </rPh>
    <rPh sb="25" eb="27">
      <t>ジレイ</t>
    </rPh>
    <rPh sb="43" eb="45">
      <t>ケイサン</t>
    </rPh>
    <rPh sb="46" eb="48">
      <t>ホケン</t>
    </rPh>
    <rPh sb="48" eb="50">
      <t>ネンキン</t>
    </rPh>
    <rPh sb="50" eb="51">
      <t>カ</t>
    </rPh>
    <rPh sb="51" eb="53">
      <t>マドグチ</t>
    </rPh>
    <rPh sb="55" eb="57">
      <t>ソウダン</t>
    </rPh>
    <phoneticPr fontId="2"/>
  </si>
  <si>
    <r>
      <t>※ ４月・５月は年間</t>
    </r>
    <r>
      <rPr>
        <sz val="9"/>
        <rFont val="UD デジタル 教科書体 NP-B"/>
        <family val="1"/>
        <charset val="128"/>
      </rPr>
      <t>保険料</t>
    </r>
    <r>
      <rPr>
        <sz val="9"/>
        <color theme="1"/>
        <rFont val="UD デジタル 教科書体 NP-B"/>
        <family val="1"/>
        <charset val="128"/>
      </rPr>
      <t xml:space="preserve">額算定時期のため保険料の支払月ではありません。(過年度遡及賦課分を除く) </t>
    </r>
    <rPh sb="3" eb="4">
      <t>ガツ</t>
    </rPh>
    <rPh sb="6" eb="7">
      <t>ガツ</t>
    </rPh>
    <rPh sb="8" eb="10">
      <t>ネンカン</t>
    </rPh>
    <rPh sb="10" eb="13">
      <t>ホケンリョウ</t>
    </rPh>
    <rPh sb="13" eb="14">
      <t>ガク</t>
    </rPh>
    <rPh sb="14" eb="16">
      <t>サンテイ</t>
    </rPh>
    <rPh sb="16" eb="18">
      <t>ジキ</t>
    </rPh>
    <rPh sb="21" eb="23">
      <t>ホケン</t>
    </rPh>
    <rPh sb="23" eb="24">
      <t>リョウ</t>
    </rPh>
    <rPh sb="25" eb="27">
      <t>シハライ</t>
    </rPh>
    <rPh sb="27" eb="28">
      <t>ツキ</t>
    </rPh>
    <rPh sb="37" eb="40">
      <t>カネンド</t>
    </rPh>
    <rPh sb="40" eb="42">
      <t>ソキュウ</t>
    </rPh>
    <rPh sb="42" eb="44">
      <t>フカ</t>
    </rPh>
    <rPh sb="44" eb="45">
      <t>ブン</t>
    </rPh>
    <rPh sb="46" eb="47">
      <t>ノゾ</t>
    </rPh>
    <phoneticPr fontId="2"/>
  </si>
  <si>
    <t>　　 うち　基礎賦課額（医療分）</t>
    <rPh sb="6" eb="10">
      <t>キソフカ</t>
    </rPh>
    <rPh sb="10" eb="11">
      <t>ガク</t>
    </rPh>
    <rPh sb="12" eb="15">
      <t>イリョウブン</t>
    </rPh>
    <phoneticPr fontId="2"/>
  </si>
  <si>
    <t>　　 　　　後期高齢者支援金</t>
    <rPh sb="6" eb="8">
      <t>コウキ</t>
    </rPh>
    <rPh sb="8" eb="11">
      <t>コウレイシャ</t>
    </rPh>
    <rPh sb="11" eb="13">
      <t>シエン</t>
    </rPh>
    <rPh sb="13" eb="14">
      <t>キン</t>
    </rPh>
    <phoneticPr fontId="2"/>
  </si>
  <si>
    <t>　　 　　　介護納付金</t>
    <rPh sb="6" eb="8">
      <t>カイゴ</t>
    </rPh>
    <rPh sb="8" eb="11">
      <t>ノウフキン</t>
    </rPh>
    <phoneticPr fontId="2"/>
  </si>
  <si>
    <t>７割軽減・・・合計所得が43万円＋10万円×（給与所得者等の数（★）－１）以下の世帯</t>
    <rPh sb="1" eb="2">
      <t>ワリ</t>
    </rPh>
    <rPh sb="2" eb="4">
      <t>ケイゲン</t>
    </rPh>
    <rPh sb="7" eb="9">
      <t>ゴウケイ</t>
    </rPh>
    <rPh sb="9" eb="11">
      <t>ショトク</t>
    </rPh>
    <rPh sb="14" eb="16">
      <t>マンエン</t>
    </rPh>
    <rPh sb="19" eb="21">
      <t>マンエン</t>
    </rPh>
    <rPh sb="23" eb="25">
      <t>キュウヨ</t>
    </rPh>
    <rPh sb="25" eb="27">
      <t>ショトク</t>
    </rPh>
    <rPh sb="27" eb="28">
      <t>シャ</t>
    </rPh>
    <rPh sb="28" eb="29">
      <t>トウ</t>
    </rPh>
    <rPh sb="30" eb="31">
      <t>カズ</t>
    </rPh>
    <rPh sb="37" eb="39">
      <t>イカ</t>
    </rPh>
    <rPh sb="40" eb="42">
      <t>セタイ</t>
    </rPh>
    <phoneticPr fontId="2"/>
  </si>
  <si>
    <t>・あくまでも概算額のため、実際の保険料額と異なる場合があります。</t>
    <rPh sb="6" eb="8">
      <t>ガイサン</t>
    </rPh>
    <rPh sb="8" eb="9">
      <t>ガク</t>
    </rPh>
    <rPh sb="13" eb="15">
      <t>ジッサイ</t>
    </rPh>
    <rPh sb="16" eb="19">
      <t>ホケンリョウ</t>
    </rPh>
    <rPh sb="19" eb="20">
      <t>ガク</t>
    </rPh>
    <rPh sb="21" eb="22">
      <t>コト</t>
    </rPh>
    <rPh sb="24" eb="26">
      <t>バアイ</t>
    </rPh>
    <phoneticPr fontId="2"/>
  </si>
  <si>
    <t>※５</t>
    <phoneticPr fontId="2"/>
  </si>
  <si>
    <t>定同一世帯所属者」となりますので、「後期高齢加入中（特同該当）」を選択してください（世帯主変更等の異動があった場合は特定同一世帯所属者ではなくな</t>
    <phoneticPr fontId="2"/>
  </si>
  <si>
    <t>ります。特定同一世帯に該当してから５年経過後の世帯や、当該世帯において国保加入者が２人以上いる世帯等の計算には対応していません。）。</t>
    <rPh sb="4" eb="8">
      <t>トクテイドウイツ</t>
    </rPh>
    <rPh sb="8" eb="10">
      <t>セタイ</t>
    </rPh>
    <rPh sb="11" eb="13">
      <t>ガイトウ</t>
    </rPh>
    <rPh sb="18" eb="19">
      <t>ネン</t>
    </rPh>
    <rPh sb="19" eb="21">
      <t>ケイカ</t>
    </rPh>
    <rPh sb="21" eb="22">
      <t>ゴ</t>
    </rPh>
    <rPh sb="23" eb="25">
      <t>セタイ</t>
    </rPh>
    <rPh sb="27" eb="31">
      <t>トウガイセタイ</t>
    </rPh>
    <rPh sb="35" eb="40">
      <t>コクホカニュウシャ</t>
    </rPh>
    <rPh sb="42" eb="43">
      <t>ニン</t>
    </rPh>
    <rPh sb="43" eb="45">
      <t>イジョウ</t>
    </rPh>
    <rPh sb="47" eb="49">
      <t>セタイ</t>
    </rPh>
    <rPh sb="49" eb="50">
      <t>トウ</t>
    </rPh>
    <rPh sb="51" eb="53">
      <t>ケイサン</t>
    </rPh>
    <rPh sb="55" eb="57">
      <t>タイオウ</t>
    </rPh>
    <phoneticPr fontId="2"/>
  </si>
  <si>
    <t>「営業所得」「農業所得」「譲渡所得」等の給与・年金以外を入力してください。</t>
    <rPh sb="1" eb="3">
      <t>エイギョウ</t>
    </rPh>
    <rPh sb="3" eb="5">
      <t>ショトク</t>
    </rPh>
    <rPh sb="7" eb="9">
      <t>ノウギョウ</t>
    </rPh>
    <rPh sb="9" eb="11">
      <t>ショトク</t>
    </rPh>
    <rPh sb="13" eb="15">
      <t>ジョウト</t>
    </rPh>
    <rPh sb="15" eb="17">
      <t>ショトク</t>
    </rPh>
    <rPh sb="18" eb="19">
      <t>トウ</t>
    </rPh>
    <rPh sb="20" eb="22">
      <t>キュウヨ</t>
    </rPh>
    <rPh sb="23" eb="25">
      <t>ネンキン</t>
    </rPh>
    <rPh sb="25" eb="27">
      <t>イガイ</t>
    </rPh>
    <rPh sb="28" eb="30">
      <t>ニュウリョク</t>
    </rPh>
    <phoneticPr fontId="2"/>
  </si>
  <si>
    <t>「世帯主」が別保険（社会保険、近江八幡市国保以外の国保、後期高齢者医療制度）に加入されている場合（擬制世帯主）であっても、保険料軽減判定に必要な</t>
    <rPh sb="1" eb="4">
      <t>セタイヌシ</t>
    </rPh>
    <rPh sb="6" eb="7">
      <t>ベツ</t>
    </rPh>
    <rPh sb="7" eb="9">
      <t>ホケン</t>
    </rPh>
    <rPh sb="10" eb="12">
      <t>シャカイ</t>
    </rPh>
    <rPh sb="12" eb="14">
      <t>ホケン</t>
    </rPh>
    <rPh sb="15" eb="19">
      <t>オウミハチマン</t>
    </rPh>
    <rPh sb="19" eb="20">
      <t>シ</t>
    </rPh>
    <rPh sb="20" eb="22">
      <t>コクホ</t>
    </rPh>
    <rPh sb="21" eb="22">
      <t>ケンコク</t>
    </rPh>
    <rPh sb="22" eb="24">
      <t>イガイ</t>
    </rPh>
    <rPh sb="25" eb="27">
      <t>コクホ</t>
    </rPh>
    <rPh sb="28" eb="30">
      <t>コウキ</t>
    </rPh>
    <rPh sb="30" eb="33">
      <t>コウレイシャ</t>
    </rPh>
    <rPh sb="33" eb="35">
      <t>イリョウ</t>
    </rPh>
    <rPh sb="35" eb="37">
      <t>セイド</t>
    </rPh>
    <rPh sb="39" eb="41">
      <t>カニュウ</t>
    </rPh>
    <rPh sb="46" eb="48">
      <t>バアイ</t>
    </rPh>
    <rPh sb="49" eb="51">
      <t>ギセイ</t>
    </rPh>
    <rPh sb="51" eb="54">
      <t>セタイヌシ</t>
    </rPh>
    <rPh sb="61" eb="64">
      <t>ホケンリョウ</t>
    </rPh>
    <rPh sb="69" eb="71">
      <t>ヒツヨウ</t>
    </rPh>
    <phoneticPr fontId="2"/>
  </si>
  <si>
    <t>※</t>
    <phoneticPr fontId="2"/>
  </si>
  <si>
    <r>
      <t>≪ 令和</t>
    </r>
    <r>
      <rPr>
        <b/>
        <sz val="8"/>
        <color rgb="FFFF0000"/>
        <rFont val="AR丸ゴシック体M"/>
        <family val="3"/>
        <charset val="128"/>
      </rPr>
      <t>8</t>
    </r>
    <r>
      <rPr>
        <b/>
        <sz val="8"/>
        <color theme="1"/>
        <rFont val="AR丸ゴシック体M"/>
        <family val="3"/>
        <charset val="128"/>
      </rPr>
      <t>年度　国民健康保険料　税率表 ≫</t>
    </r>
    <rPh sb="2" eb="3">
      <t>レイ</t>
    </rPh>
    <rPh sb="3" eb="4">
      <t>ワ</t>
    </rPh>
    <rPh sb="5" eb="7">
      <t>ネンド</t>
    </rPh>
    <rPh sb="7" eb="9">
      <t>ヘイネンド</t>
    </rPh>
    <rPh sb="8" eb="10">
      <t>コクミン</t>
    </rPh>
    <rPh sb="10" eb="12">
      <t>ケンコウ</t>
    </rPh>
    <rPh sb="12" eb="14">
      <t>ホケン</t>
    </rPh>
    <rPh sb="14" eb="15">
      <t>リョウ</t>
    </rPh>
    <rPh sb="16" eb="18">
      <t>ゼイリツ</t>
    </rPh>
    <rPh sb="18" eb="19">
      <t>ヒョウ</t>
    </rPh>
    <phoneticPr fontId="2"/>
  </si>
  <si>
    <t>子ども・子育て
支援納付金分</t>
    <rPh sb="0" eb="1">
      <t>コ</t>
    </rPh>
    <rPh sb="4" eb="6">
      <t>コソダ</t>
    </rPh>
    <rPh sb="8" eb="10">
      <t>シエン</t>
    </rPh>
    <rPh sb="10" eb="13">
      <t>ノウフキン</t>
    </rPh>
    <rPh sb="13" eb="14">
      <t>ブン</t>
    </rPh>
    <phoneticPr fontId="2"/>
  </si>
  <si>
    <t>小学生～高校生</t>
    <rPh sb="0" eb="3">
      <t>ショウガクセイ</t>
    </rPh>
    <rPh sb="4" eb="7">
      <t>コウコウセイ</t>
    </rPh>
    <phoneticPr fontId="2"/>
  </si>
  <si>
    <t>19～39</t>
    <phoneticPr fontId="2"/>
  </si>
  <si>
    <r>
      <t>非自発対象期間(R</t>
    </r>
    <r>
      <rPr>
        <b/>
        <sz val="9"/>
        <color rgb="FFFF0000"/>
        <rFont val="AR丸ゴシック体M"/>
        <family val="3"/>
        <charset val="128"/>
      </rPr>
      <t>8</t>
    </r>
    <r>
      <rPr>
        <b/>
        <sz val="9"/>
        <color theme="1"/>
        <rFont val="AR丸ゴシック体M"/>
        <family val="3"/>
        <charset val="128"/>
      </rPr>
      <t>)</t>
    </r>
    <rPh sb="0" eb="1">
      <t>ヒ</t>
    </rPh>
    <rPh sb="1" eb="3">
      <t>ジハツ</t>
    </rPh>
    <rPh sb="3" eb="5">
      <t>タイショウ</t>
    </rPh>
    <rPh sb="5" eb="7">
      <t>キカン</t>
    </rPh>
    <phoneticPr fontId="2"/>
  </si>
  <si>
    <t xml:space="preserve"> l_5</t>
  </si>
  <si>
    <t>α</t>
    <phoneticPr fontId="2"/>
  </si>
  <si>
    <t xml:space="preserve"> f = w,x,y,α</t>
    <phoneticPr fontId="2"/>
  </si>
  <si>
    <t>５割軽減・・・合計所得が43万円＋31.0万円×加入者数（◆）＋10万円×（給与所得者等の数（★）－１）以下の世帯</t>
    <rPh sb="1" eb="2">
      <t>ワリ</t>
    </rPh>
    <rPh sb="2" eb="4">
      <t>ケイゲン</t>
    </rPh>
    <rPh sb="14" eb="16">
      <t>マンエン</t>
    </rPh>
    <rPh sb="22" eb="23">
      <t>エン</t>
    </rPh>
    <rPh sb="24" eb="26">
      <t>カニュウ</t>
    </rPh>
    <rPh sb="26" eb="27">
      <t>シャ</t>
    </rPh>
    <rPh sb="27" eb="28">
      <t>スウ</t>
    </rPh>
    <rPh sb="52" eb="54">
      <t>イカ</t>
    </rPh>
    <rPh sb="55" eb="57">
      <t>セタイ</t>
    </rPh>
    <phoneticPr fontId="2"/>
  </si>
  <si>
    <t>２割軽減・・・合計所得が43万円＋57.0万円×加入者数（◆）+10万円×（給与所得者等の数（★）－１）以下の世帯</t>
    <rPh sb="1" eb="2">
      <t>ワリ</t>
    </rPh>
    <rPh sb="2" eb="4">
      <t>ケイゲン</t>
    </rPh>
    <rPh sb="38" eb="40">
      <t>キュウヨ</t>
    </rPh>
    <rPh sb="40" eb="42">
      <t>ショトク</t>
    </rPh>
    <rPh sb="42" eb="43">
      <t>シャ</t>
    </rPh>
    <rPh sb="43" eb="44">
      <t>トウ</t>
    </rPh>
    <rPh sb="45" eb="46">
      <t>カズ</t>
    </rPh>
    <phoneticPr fontId="2"/>
  </si>
  <si>
    <t>　 　軽減判定用世帯合計所得が、基準額　430,000円＋310,000円×1人＋100,000円×(2人－1人)＝840,000円　以内のため５割軽減に該当</t>
    <rPh sb="3" eb="5">
      <t>ケイゲン</t>
    </rPh>
    <rPh sb="5" eb="7">
      <t>ハンテイ</t>
    </rPh>
    <rPh sb="7" eb="8">
      <t>ヨウ</t>
    </rPh>
    <rPh sb="8" eb="10">
      <t>セタイ</t>
    </rPh>
    <rPh sb="10" eb="12">
      <t>ゴウケイ</t>
    </rPh>
    <rPh sb="12" eb="14">
      <t>ショトク</t>
    </rPh>
    <rPh sb="16" eb="18">
      <t>キジュン</t>
    </rPh>
    <rPh sb="18" eb="19">
      <t>ガク</t>
    </rPh>
    <rPh sb="27" eb="28">
      <t>エン</t>
    </rPh>
    <rPh sb="65" eb="66">
      <t>エン</t>
    </rPh>
    <rPh sb="67" eb="69">
      <t>イナイ</t>
    </rPh>
    <rPh sb="73" eb="74">
      <t>ワリ</t>
    </rPh>
    <rPh sb="74" eb="76">
      <t>ケイゲン</t>
    </rPh>
    <rPh sb="77" eb="79">
      <t>ガイトウ</t>
    </rPh>
    <phoneticPr fontId="2"/>
  </si>
  <si>
    <r>
      <rPr>
        <sz val="8"/>
        <rFont val="UD デジタル 教科書体 NP-B"/>
        <family val="1"/>
        <charset val="128"/>
      </rPr>
      <t>ため、別保険に加入中を選択し、世帯主に係る収入や所得等を入力してください。</t>
    </r>
    <r>
      <rPr>
        <b/>
        <sz val="8"/>
        <color theme="1"/>
        <rFont val="UD デジタル 教科書体 NP-B"/>
        <family val="1"/>
        <charset val="128"/>
      </rPr>
      <t>令和</t>
    </r>
    <r>
      <rPr>
        <b/>
        <sz val="8"/>
        <color rgb="FFFF0000"/>
        <rFont val="UD デジタル 教科書体 NP-B"/>
        <family val="1"/>
        <charset val="128"/>
      </rPr>
      <t>7</t>
    </r>
    <r>
      <rPr>
        <b/>
        <sz val="8"/>
        <color theme="1"/>
        <rFont val="UD デジタル 教科書体 NP-B"/>
        <family val="1"/>
        <charset val="128"/>
      </rPr>
      <t>年12月31日現在の年齢</t>
    </r>
    <r>
      <rPr>
        <sz val="8"/>
        <color theme="1"/>
        <rFont val="UD デジタル 教科書体 NP-B"/>
        <family val="1"/>
        <charset val="128"/>
      </rPr>
      <t>で選択してください(令和</t>
    </r>
    <r>
      <rPr>
        <sz val="8"/>
        <color rgb="FFFF0000"/>
        <rFont val="UD デジタル 教科書体 NP-B"/>
        <family val="1"/>
        <charset val="128"/>
      </rPr>
      <t>7</t>
    </r>
    <r>
      <rPr>
        <sz val="8"/>
        <color theme="1"/>
        <rFont val="UD デジタル 教科書体 NP-B"/>
        <family val="1"/>
        <charset val="128"/>
      </rPr>
      <t>年中の所得額を基に</t>
    </r>
    <rPh sb="26" eb="27">
      <t>ナド</t>
    </rPh>
    <phoneticPr fontId="2"/>
  </si>
  <si>
    <r>
      <t>課税計算するため。)。ただし、高校生以下の基準は令和</t>
    </r>
    <r>
      <rPr>
        <sz val="8"/>
        <color rgb="FFFF0000"/>
        <rFont val="UD デジタル 教科書体 NP-B"/>
        <family val="1"/>
        <charset val="128"/>
      </rPr>
      <t>8</t>
    </r>
    <r>
      <rPr>
        <sz val="8"/>
        <color theme="1"/>
        <rFont val="UD デジタル 教科書体 NP-B"/>
        <family val="1"/>
        <charset val="128"/>
      </rPr>
      <t>年度とします。なお、国保から後期高齢者医療制度に移行され引き続き同じ世帯におられる場合は、「特</t>
    </r>
    <rPh sb="15" eb="20">
      <t>コウコウセイイカ</t>
    </rPh>
    <rPh sb="21" eb="23">
      <t>キジュン</t>
    </rPh>
    <rPh sb="24" eb="26">
      <t>レイワ</t>
    </rPh>
    <rPh sb="27" eb="29">
      <t>ネンド</t>
    </rPh>
    <rPh sb="37" eb="39">
      <t>コクホ</t>
    </rPh>
    <rPh sb="41" eb="43">
      <t>コウキ</t>
    </rPh>
    <rPh sb="43" eb="46">
      <t>コウレイシャ</t>
    </rPh>
    <rPh sb="46" eb="48">
      <t>イリョウ</t>
    </rPh>
    <rPh sb="48" eb="50">
      <t>セイド</t>
    </rPh>
    <rPh sb="51" eb="53">
      <t>イコウ</t>
    </rPh>
    <rPh sb="55" eb="56">
      <t>ヒ</t>
    </rPh>
    <rPh sb="57" eb="58">
      <t>ツヅ</t>
    </rPh>
    <phoneticPr fontId="2"/>
  </si>
  <si>
    <r>
      <t>退職日が令和</t>
    </r>
    <r>
      <rPr>
        <sz val="8"/>
        <color rgb="FFFF0000"/>
        <rFont val="UD デジタル 教科書体 NP-B"/>
        <family val="1"/>
        <charset val="128"/>
      </rPr>
      <t>８</t>
    </r>
    <r>
      <rPr>
        <sz val="8"/>
        <color theme="1"/>
        <rFont val="UD デジタル 教科書体 NP-B"/>
        <family val="1"/>
        <charset val="128"/>
      </rPr>
      <t>年４月30日以降の場合は適用月数が異なるため実際の税額と異なります。</t>
    </r>
    <rPh sb="0" eb="2">
      <t>タイショク</t>
    </rPh>
    <rPh sb="2" eb="3">
      <t>ビ</t>
    </rPh>
    <rPh sb="4" eb="5">
      <t>レイ</t>
    </rPh>
    <rPh sb="5" eb="6">
      <t>ワ</t>
    </rPh>
    <rPh sb="7" eb="8">
      <t>ネン</t>
    </rPh>
    <rPh sb="8" eb="9">
      <t>ヘイネン</t>
    </rPh>
    <rPh sb="9" eb="10">
      <t>ガツ</t>
    </rPh>
    <rPh sb="12" eb="13">
      <t>ニチ</t>
    </rPh>
    <rPh sb="13" eb="15">
      <t>イコウ</t>
    </rPh>
    <rPh sb="16" eb="18">
      <t>バアイ</t>
    </rPh>
    <rPh sb="19" eb="21">
      <t>テキヨウ</t>
    </rPh>
    <rPh sb="21" eb="22">
      <t>ツキ</t>
    </rPh>
    <rPh sb="22" eb="23">
      <t>スウ</t>
    </rPh>
    <rPh sb="24" eb="25">
      <t>コト</t>
    </rPh>
    <rPh sb="29" eb="31">
      <t>ジッサイ</t>
    </rPh>
    <rPh sb="32" eb="34">
      <t>ゼイガク</t>
    </rPh>
    <rPh sb="35" eb="36">
      <t>コト</t>
    </rPh>
    <phoneticPr fontId="2"/>
  </si>
  <si>
    <t>　　 　　　子ども・子育て支援納付金</t>
    <rPh sb="6" eb="7">
      <t>コ</t>
    </rPh>
    <rPh sb="10" eb="12">
      <t>コソダ</t>
    </rPh>
    <rPh sb="13" eb="15">
      <t>シエン</t>
    </rPh>
    <rPh sb="15" eb="18">
      <t>ノウフキン</t>
    </rPh>
    <phoneticPr fontId="2"/>
  </si>
  <si>
    <t xml:space="preserve"> r = w,x,y,α</t>
    <phoneticPr fontId="2"/>
  </si>
  <si>
    <r>
      <rPr>
        <b/>
        <sz val="15"/>
        <color rgb="FFFF0000"/>
        <rFont val="UD デジタル 教科書体 NP-B"/>
        <family val="1"/>
        <charset val="128"/>
      </rPr>
      <t>令和８年度</t>
    </r>
    <r>
      <rPr>
        <b/>
        <sz val="15"/>
        <color theme="1"/>
        <rFont val="UD デジタル 教科書体 NP-B"/>
        <family val="1"/>
        <charset val="128"/>
      </rPr>
      <t>　近江八幡市　国民健康保険料額試算（仮計算）</t>
    </r>
    <rPh sb="0" eb="1">
      <t>レイ</t>
    </rPh>
    <rPh sb="1" eb="2">
      <t>ワ</t>
    </rPh>
    <rPh sb="3" eb="5">
      <t>ネンドヘイネンド</t>
    </rPh>
    <rPh sb="6" eb="10">
      <t>オウミハチマン</t>
    </rPh>
    <rPh sb="10" eb="11">
      <t>シ</t>
    </rPh>
    <rPh sb="12" eb="14">
      <t>コクミン</t>
    </rPh>
    <rPh sb="14" eb="16">
      <t>ケンコウ</t>
    </rPh>
    <rPh sb="16" eb="18">
      <t>ホケン</t>
    </rPh>
    <rPh sb="18" eb="19">
      <t>リョウ</t>
    </rPh>
    <rPh sb="19" eb="20">
      <t>ガク</t>
    </rPh>
    <rPh sb="20" eb="22">
      <t>シサン</t>
    </rPh>
    <rPh sb="23" eb="24">
      <t>カリ</t>
    </rPh>
    <rPh sb="24" eb="26">
      <t>ケイサン</t>
    </rPh>
    <phoneticPr fontId="2"/>
  </si>
  <si>
    <r>
      <t>※ 上記保険料額は、</t>
    </r>
    <r>
      <rPr>
        <sz val="9"/>
        <color rgb="FFFF0000"/>
        <rFont val="UD デジタル 教科書体 NP-B"/>
        <family val="1"/>
        <charset val="128"/>
      </rPr>
      <t>令和８年</t>
    </r>
    <r>
      <rPr>
        <b/>
        <sz val="9"/>
        <rFont val="UD デジタル 教科書体 NP-B"/>
        <family val="1"/>
        <charset val="128"/>
      </rPr>
      <t>４月末日現在の国民健康保険加入者が、翌年３月31日まで加入している事を前提として</t>
    </r>
    <rPh sb="2" eb="4">
      <t>ジョウキ</t>
    </rPh>
    <rPh sb="4" eb="7">
      <t>ホケンリョウ</t>
    </rPh>
    <rPh sb="7" eb="8">
      <t>ガク</t>
    </rPh>
    <rPh sb="10" eb="11">
      <t>レイ</t>
    </rPh>
    <rPh sb="11" eb="12">
      <t>ワ</t>
    </rPh>
    <rPh sb="13" eb="14">
      <t>ネン</t>
    </rPh>
    <rPh sb="14" eb="15">
      <t>ヘイネン</t>
    </rPh>
    <rPh sb="15" eb="16">
      <t>ガツ</t>
    </rPh>
    <rPh sb="16" eb="17">
      <t>マツ</t>
    </rPh>
    <rPh sb="17" eb="18">
      <t>ニチ</t>
    </rPh>
    <rPh sb="18" eb="20">
      <t>ゲンザイ</t>
    </rPh>
    <rPh sb="21" eb="23">
      <t>コクミン</t>
    </rPh>
    <rPh sb="23" eb="25">
      <t>ケンコウ</t>
    </rPh>
    <rPh sb="25" eb="27">
      <t>ホケン</t>
    </rPh>
    <rPh sb="27" eb="29">
      <t>カニュウ</t>
    </rPh>
    <rPh sb="29" eb="30">
      <t>シャ</t>
    </rPh>
    <rPh sb="32" eb="34">
      <t>ヨクネン</t>
    </rPh>
    <rPh sb="35" eb="36">
      <t>ガツ</t>
    </rPh>
    <rPh sb="38" eb="39">
      <t>ニチ</t>
    </rPh>
    <rPh sb="41" eb="43">
      <t>カニュウ</t>
    </rPh>
    <rPh sb="47" eb="48">
      <t>コト</t>
    </rPh>
    <phoneticPr fontId="2"/>
  </si>
  <si>
    <r>
      <t xml:space="preserve">均等割
</t>
    </r>
    <r>
      <rPr>
        <b/>
        <sz val="6"/>
        <rFont val="AR丸ゴシック体M"/>
        <family val="3"/>
        <charset val="128"/>
      </rPr>
      <t>(未就学児軽減)</t>
    </r>
    <rPh sb="0" eb="3">
      <t>キントウワ</t>
    </rPh>
    <rPh sb="5" eb="9">
      <t>ミシュウガクジ</t>
    </rPh>
    <rPh sb="9" eb="11">
      <t>ケイゲン</t>
    </rPh>
    <phoneticPr fontId="2"/>
  </si>
  <si>
    <r>
      <t>　 ６月から翌年３月までの</t>
    </r>
    <r>
      <rPr>
        <u/>
        <sz val="9"/>
        <rFont val="UD デジタル 教科書体 NP-B"/>
        <family val="1"/>
        <charset val="128"/>
      </rPr>
      <t>１０か月で１年間の保険料額</t>
    </r>
    <r>
      <rPr>
        <sz val="9"/>
        <color theme="1"/>
        <rFont val="UD デジタル 教科書体 NP-B"/>
        <family val="1"/>
        <charset val="128"/>
      </rPr>
      <t>を納付していただき、６月を第１期、翌年３月を第10期とします。</t>
    </r>
    <rPh sb="3" eb="4">
      <t>ガツ</t>
    </rPh>
    <rPh sb="6" eb="7">
      <t>ヨク</t>
    </rPh>
    <rPh sb="7" eb="8">
      <t>トシ</t>
    </rPh>
    <rPh sb="9" eb="10">
      <t>ガツ</t>
    </rPh>
    <rPh sb="16" eb="17">
      <t>ガツ</t>
    </rPh>
    <rPh sb="19" eb="21">
      <t>ネンカン</t>
    </rPh>
    <rPh sb="22" eb="25">
      <t>ホケンリョウ</t>
    </rPh>
    <rPh sb="25" eb="26">
      <t>ガク</t>
    </rPh>
    <rPh sb="27" eb="29">
      <t>ノウフ</t>
    </rPh>
    <rPh sb="37" eb="38">
      <t>ガツ</t>
    </rPh>
    <rPh sb="39" eb="40">
      <t>ダイ</t>
    </rPh>
    <rPh sb="41" eb="42">
      <t>キ</t>
    </rPh>
    <rPh sb="43" eb="44">
      <t>ヨク</t>
    </rPh>
    <rPh sb="44" eb="45">
      <t>トシ</t>
    </rPh>
    <rPh sb="46" eb="47">
      <t>ガツ</t>
    </rPh>
    <rPh sb="48" eb="49">
      <t>ダイ</t>
    </rPh>
    <rPh sb="51" eb="52">
      <t>キ</t>
    </rPh>
    <phoneticPr fontId="2"/>
  </si>
  <si>
    <r>
      <t xml:space="preserve">　１年間分（ </t>
    </r>
    <r>
      <rPr>
        <b/>
        <sz val="9"/>
        <color theme="1"/>
        <rFont val="UD デジタル 教科書体 NP-B"/>
        <family val="1"/>
        <charset val="128"/>
      </rPr>
      <t>12か月分）を計算</t>
    </r>
    <r>
      <rPr>
        <sz val="9"/>
        <color theme="1"/>
        <rFont val="UD デジタル 教科書体 NP-B"/>
        <family val="1"/>
        <charset val="128"/>
      </rPr>
      <t>していますが、あくまでも概算額のため、実際の保険料額と異なることがあります。</t>
    </r>
    <rPh sb="2" eb="4">
      <t>ネンカン</t>
    </rPh>
    <rPh sb="4" eb="5">
      <t>ブン</t>
    </rPh>
    <rPh sb="10" eb="11">
      <t>ゲツ</t>
    </rPh>
    <rPh sb="11" eb="12">
      <t>ブン</t>
    </rPh>
    <rPh sb="38" eb="41">
      <t>ホケンリョウ</t>
    </rPh>
    <rPh sb="41" eb="42">
      <t>ガク</t>
    </rPh>
    <phoneticPr fontId="2"/>
  </si>
  <si>
    <t xml:space="preserve"> 国民健康保険料（年間）</t>
    <rPh sb="1" eb="3">
      <t>コクミン</t>
    </rPh>
    <rPh sb="3" eb="5">
      <t>ケンコウ</t>
    </rPh>
    <rPh sb="5" eb="7">
      <t>ホケン</t>
    </rPh>
    <rPh sb="7" eb="8">
      <t>リョウ</t>
    </rPh>
    <phoneticPr fontId="2"/>
  </si>
  <si>
    <t>賦課限度額</t>
    <rPh sb="0" eb="2">
      <t>フカ</t>
    </rPh>
    <rPh sb="2" eb="4">
      <t>ゲンド</t>
    </rPh>
    <rPh sb="4" eb="5">
      <t>ガク</t>
    </rPh>
    <phoneticPr fontId="2"/>
  </si>
  <si>
    <t>限度額反映
税額</t>
    <rPh sb="0" eb="3">
      <t>ゲンドガク</t>
    </rPh>
    <rPh sb="3" eb="5">
      <t>ハンエイ</t>
    </rPh>
    <rPh sb="6" eb="8">
      <t>ゼイガク</t>
    </rPh>
    <phoneticPr fontId="2"/>
  </si>
  <si>
    <t>65～74</t>
  </si>
  <si>
    <t>19～39</t>
  </si>
  <si>
    <t>別保険に加入中(65歳以上)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</si>
</sst>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411]ge\.m\.d;@"/>
    <numFmt numFmtId="178" formatCode="#,##0&quot;円/人&quot;"/>
    <numFmt numFmtId="179" formatCode="#,##0&quot;円/世帯&quot;"/>
    <numFmt numFmtId="180" formatCode="#,##0&quot;円&quot;"/>
    <numFmt numFmtId="181" formatCode="#,##0&quot;人&quot;"/>
    <numFmt numFmtId="182" formatCode="0&quot;割軽減&quot;"/>
    <numFmt numFmtId="183" formatCode="#,##0&quot;円/期&quot;"/>
    <numFmt numFmtId="184" formatCode="#,##0&quot;円&quot;;[Red]\-#,##0&quot;円&quot;"/>
    <numFmt numFmtId="185" formatCode="@&quot;歳&quot;"/>
  </numFmts>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AR丸ゴシック体M"/>
      <family val="3"/>
      <charset val="128"/>
    </font>
    <font>
      <b/>
      <sz val="9"/>
      <color theme="1"/>
      <name val="AR丸ゴシック体M"/>
      <family val="3"/>
      <charset val="128"/>
    </font>
    <font>
      <sz val="8"/>
      <color theme="1"/>
      <name val="AR丸ゴシック体M"/>
      <family val="3"/>
      <charset val="128"/>
    </font>
    <font>
      <b/>
      <sz val="8"/>
      <color theme="1"/>
      <name val="AR丸ゴシック体M"/>
      <family val="3"/>
      <charset val="128"/>
    </font>
    <font>
      <sz val="7"/>
      <color theme="1"/>
      <name val="AR丸ゴシック体M"/>
      <family val="3"/>
      <charset val="128"/>
    </font>
    <font>
      <b/>
      <sz val="7"/>
      <color theme="1"/>
      <name val="AR丸ゴシック体M"/>
      <family val="3"/>
      <charset val="128"/>
    </font>
    <font>
      <sz val="8"/>
      <color rgb="FF0000CC"/>
      <name val="AR丸ゴシック体M"/>
      <family val="3"/>
      <charset val="128"/>
    </font>
    <font>
      <b/>
      <sz val="8"/>
      <name val="AR丸ゴシック体M"/>
      <family val="3"/>
      <charset val="128"/>
    </font>
    <font>
      <sz val="8"/>
      <name val="AR丸ゴシック体M"/>
      <family val="3"/>
      <charset val="128"/>
    </font>
    <font>
      <sz val="9"/>
      <name val="AR丸ゴシック体M"/>
      <family val="3"/>
      <charset val="128"/>
    </font>
    <font>
      <b/>
      <sz val="14"/>
      <color rgb="FFFF0000"/>
      <name val="AR丸ゴシック体M"/>
      <family val="3"/>
      <charset val="128"/>
    </font>
    <font>
      <b/>
      <sz val="9"/>
      <color rgb="FFFF0000"/>
      <name val="AR丸ゴシック体M"/>
      <family val="3"/>
      <charset val="128"/>
    </font>
    <font>
      <b/>
      <sz val="7.5"/>
      <color indexed="81"/>
      <name val="AR P丸ゴシック体M"/>
      <family val="3"/>
      <charset val="128"/>
    </font>
    <font>
      <b/>
      <sz val="10"/>
      <color theme="1"/>
      <name val="AR丸ゴシック体M"/>
      <family val="3"/>
      <charset val="128"/>
    </font>
    <font>
      <b/>
      <sz val="11"/>
      <color theme="1"/>
      <name val="AR丸ゴシック体M"/>
      <family val="3"/>
      <charset val="128"/>
    </font>
    <font>
      <sz val="11"/>
      <color theme="1"/>
      <name val="AR丸ゴシック体M"/>
      <family val="3"/>
      <charset val="128"/>
    </font>
    <font>
      <b/>
      <sz val="12"/>
      <color theme="1"/>
      <name val="AR Pマッチ体B"/>
      <family val="1"/>
      <charset val="128"/>
    </font>
    <font>
      <sz val="8"/>
      <color indexed="81"/>
      <name val="AR丸ゴシック体M"/>
      <family val="3"/>
      <charset val="128"/>
    </font>
    <font>
      <sz val="7.5"/>
      <color indexed="81"/>
      <name val="AR丸ゴシック体M"/>
      <family val="3"/>
      <charset val="128"/>
    </font>
    <font>
      <b/>
      <sz val="8"/>
      <color indexed="81"/>
      <name val="AR丸ゴシック体M"/>
      <family val="3"/>
      <charset val="128"/>
    </font>
    <font>
      <b/>
      <sz val="6"/>
      <color theme="1"/>
      <name val="AR丸ゴシック体M"/>
      <family val="3"/>
      <charset val="128"/>
    </font>
    <font>
      <b/>
      <sz val="5"/>
      <color theme="1"/>
      <name val="AR丸ゴシック体M"/>
      <family val="3"/>
      <charset val="128"/>
    </font>
    <font>
      <b/>
      <sz val="15"/>
      <color theme="1"/>
      <name val="UD デジタル 教科書体 NP-B"/>
      <family val="1"/>
      <charset val="128"/>
    </font>
    <font>
      <b/>
      <sz val="11"/>
      <color theme="0"/>
      <name val="UD デジタル 教科書体 NP-B"/>
      <family val="1"/>
      <charset val="128"/>
    </font>
    <font>
      <sz val="9"/>
      <color theme="1"/>
      <name val="UD デジタル 教科書体 NP-B"/>
      <family val="1"/>
      <charset val="128"/>
    </font>
    <font>
      <b/>
      <sz val="12"/>
      <color theme="1"/>
      <name val="UD デジタル 教科書体 NP-B"/>
      <family val="1"/>
      <charset val="128"/>
    </font>
    <font>
      <b/>
      <sz val="14"/>
      <color theme="1"/>
      <name val="UD デジタル 教科書体 NP-B"/>
      <family val="1"/>
      <charset val="128"/>
    </font>
    <font>
      <sz val="8"/>
      <color theme="1"/>
      <name val="UD デジタル 教科書体 NP-B"/>
      <family val="1"/>
      <charset val="128"/>
    </font>
    <font>
      <sz val="14"/>
      <color theme="1"/>
      <name val="UD デジタル 教科書体 NP-B"/>
      <family val="1"/>
      <charset val="128"/>
    </font>
    <font>
      <sz val="9"/>
      <name val="UD デジタル 教科書体 NP-B"/>
      <family val="1"/>
      <charset val="128"/>
    </font>
    <font>
      <b/>
      <sz val="9"/>
      <name val="UD デジタル 教科書体 NP-B"/>
      <family val="1"/>
      <charset val="128"/>
    </font>
    <font>
      <b/>
      <sz val="9"/>
      <color theme="1"/>
      <name val="UD デジタル 教科書体 NP-B"/>
      <family val="1"/>
      <charset val="128"/>
    </font>
    <font>
      <b/>
      <sz val="8"/>
      <color theme="1"/>
      <name val="UD デジタル 教科書体 NP-B"/>
      <family val="1"/>
      <charset val="128"/>
    </font>
    <font>
      <sz val="8"/>
      <name val="UD デジタル 教科書体 NP-B"/>
      <family val="1"/>
      <charset val="128"/>
    </font>
    <font>
      <sz val="9"/>
      <color rgb="FFFF0000"/>
      <name val="UD デジタル 教科書体 NP-B"/>
      <family val="1"/>
      <charset val="128"/>
    </font>
    <font>
      <b/>
      <sz val="15"/>
      <color rgb="FFFF0000"/>
      <name val="UD デジタル 教科書体 NP-B"/>
      <family val="1"/>
      <charset val="128"/>
    </font>
    <font>
      <sz val="8"/>
      <color rgb="FFFF0000"/>
      <name val="UD デジタル 教科書体 NP-B"/>
      <family val="1"/>
      <charset val="128"/>
    </font>
    <font>
      <sz val="11"/>
      <color rgb="FFFF0000"/>
      <name val="UD デジタル 教科書体 NP-B"/>
      <family val="1"/>
      <charset val="128"/>
    </font>
    <font>
      <u/>
      <sz val="8"/>
      <color rgb="FFFF0000"/>
      <name val="UD デジタル 教科書体 NP-B"/>
      <family val="1"/>
      <charset val="128"/>
    </font>
    <font>
      <b/>
      <sz val="8"/>
      <color rgb="FFFF0000"/>
      <name val="UD デジタル 教科書体 NP-B"/>
      <family val="1"/>
      <charset val="128"/>
    </font>
    <font>
      <b/>
      <sz val="8"/>
      <color rgb="FFFF0000"/>
      <name val="AR丸ゴシック体M"/>
      <family val="3"/>
      <charset val="128"/>
    </font>
    <font>
      <sz val="8"/>
      <color rgb="FF0000FF"/>
      <name val="AR丸ゴシック体M"/>
      <family val="3"/>
      <charset val="128"/>
    </font>
    <font>
      <sz val="7"/>
      <color rgb="FF0000FF"/>
      <name val="AR丸ゴシック体M"/>
      <family val="3"/>
      <charset val="128"/>
    </font>
    <font>
      <b/>
      <sz val="9"/>
      <color rgb="FF0000FF"/>
      <name val="AR丸ゴシック体M"/>
      <family val="3"/>
      <charset val="128"/>
    </font>
    <font>
      <sz val="9"/>
      <color rgb="FF0000FF"/>
      <name val="AR丸ゴシック体M"/>
      <family val="3"/>
      <charset val="128"/>
    </font>
    <font>
      <b/>
      <sz val="8"/>
      <color rgb="FF0000FF"/>
      <name val="AR丸ゴシック体M"/>
      <family val="3"/>
      <charset val="128"/>
    </font>
    <font>
      <b/>
      <sz val="6"/>
      <color rgb="FF0000FF"/>
      <name val="AR丸ゴシック体M"/>
      <family val="3"/>
      <charset val="128"/>
    </font>
    <font>
      <sz val="9"/>
      <color rgb="FF0000FF"/>
      <name val="ＭＳ Ｐゴシック"/>
      <family val="2"/>
      <charset val="128"/>
      <scheme val="minor"/>
    </font>
    <font>
      <b/>
      <sz val="7"/>
      <color rgb="FF0000FF"/>
      <name val="AR丸ゴシック体M"/>
      <family val="3"/>
      <charset val="128"/>
    </font>
    <font>
      <b/>
      <sz val="6"/>
      <name val="AR丸ゴシック体M"/>
      <family val="3"/>
      <charset val="128"/>
    </font>
    <font>
      <u/>
      <sz val="9"/>
      <name val="UD デジタル 教科書体 NP-B"/>
      <family val="1"/>
      <charset val="128"/>
    </font>
    <font>
      <sz val="12"/>
      <color theme="1"/>
      <name val="UD デジタル 教科書体 NP-B"/>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rgb="FFCCFF99"/>
        <bgColor indexed="64"/>
      </patternFill>
    </fill>
    <fill>
      <patternFill patternType="solid">
        <fgColor rgb="FFCCFFCC"/>
        <bgColor indexed="64"/>
      </patternFill>
    </fill>
    <fill>
      <patternFill patternType="solid">
        <fgColor rgb="FFCCFF66"/>
        <bgColor indexed="64"/>
      </patternFill>
    </fill>
    <fill>
      <patternFill patternType="solid">
        <fgColor rgb="FFFF0000"/>
        <bgColor indexed="64"/>
      </patternFill>
    </fill>
    <fill>
      <patternFill patternType="solid">
        <fgColor rgb="FFFFFF00"/>
        <bgColor indexed="64"/>
      </patternFill>
    </fill>
  </fills>
  <borders count="54">
    <border>
      <left/>
      <right/>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slantDashDot">
        <color auto="1"/>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thin">
        <color auto="1"/>
      </right>
      <top/>
      <bottom style="dotted">
        <color auto="1"/>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6">
    <xf numFmtId="0" fontId="0" fillId="0" borderId="0" xfId="0">
      <alignment vertical="center"/>
    </xf>
    <xf numFmtId="0" fontId="3" fillId="0" borderId="0" xfId="0" applyFont="1">
      <alignment vertical="center"/>
    </xf>
    <xf numFmtId="177" fontId="3" fillId="0" borderId="0" xfId="0" applyNumberFormat="1" applyFont="1">
      <alignment vertical="center"/>
    </xf>
    <xf numFmtId="38" fontId="3" fillId="0" borderId="0" xfId="1" applyFont="1">
      <alignment vertical="center"/>
    </xf>
    <xf numFmtId="38" fontId="3" fillId="0" borderId="0" xfId="1" applyFont="1" applyAlignment="1">
      <alignment horizontal="center" vertical="center"/>
    </xf>
    <xf numFmtId="176" fontId="3" fillId="0" borderId="0" xfId="1" applyNumberFormat="1" applyFont="1">
      <alignment vertical="center"/>
    </xf>
    <xf numFmtId="38" fontId="3" fillId="0" borderId="0" xfId="1" applyNumberFormat="1" applyFont="1" applyAlignment="1">
      <alignment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38" fontId="3" fillId="0" borderId="15" xfId="1" applyFont="1" applyBorder="1">
      <alignment vertical="center"/>
    </xf>
    <xf numFmtId="0" fontId="3" fillId="0" borderId="15" xfId="0" applyNumberFormat="1" applyFont="1" applyBorder="1" applyAlignment="1">
      <alignment horizontal="center" vertical="center"/>
    </xf>
    <xf numFmtId="0" fontId="3" fillId="0" borderId="16" xfId="1" applyNumberFormat="1" applyFont="1" applyBorder="1" applyAlignment="1">
      <alignment horizontal="center" vertical="center"/>
    </xf>
    <xf numFmtId="0" fontId="3" fillId="0" borderId="16" xfId="0" applyNumberFormat="1" applyFont="1" applyBorder="1" applyAlignment="1">
      <alignment horizontal="center" vertical="center"/>
    </xf>
    <xf numFmtId="177" fontId="3" fillId="0" borderId="15" xfId="1" applyNumberFormat="1" applyFont="1" applyBorder="1" applyAlignment="1">
      <alignment horizontal="center" vertical="center"/>
    </xf>
    <xf numFmtId="38" fontId="3" fillId="0" borderId="15" xfId="1" applyFont="1" applyBorder="1" applyAlignment="1">
      <alignment horizontal="center" vertical="center"/>
    </xf>
    <xf numFmtId="0" fontId="3" fillId="0" borderId="0" xfId="0" applyFont="1" applyBorder="1">
      <alignment vertical="center"/>
    </xf>
    <xf numFmtId="0" fontId="3" fillId="0" borderId="0" xfId="0" applyNumberFormat="1" applyFont="1" applyBorder="1" applyAlignment="1">
      <alignment horizontal="center" vertical="center"/>
    </xf>
    <xf numFmtId="38" fontId="3" fillId="0" borderId="0" xfId="1" applyFont="1" applyBorder="1" applyAlignment="1">
      <alignment horizontal="distributed" vertical="center" justifyLastLine="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15" xfId="0" applyFont="1" applyBorder="1" applyAlignment="1">
      <alignment vertical="center" shrinkToFit="1"/>
    </xf>
    <xf numFmtId="0" fontId="6" fillId="0" borderId="15" xfId="0" applyFont="1" applyBorder="1" applyAlignment="1">
      <alignment horizontal="center" vertical="center" shrinkToFit="1"/>
    </xf>
    <xf numFmtId="0" fontId="8" fillId="0" borderId="15" xfId="0" applyFont="1" applyBorder="1" applyAlignment="1">
      <alignment horizontal="center" vertical="center" wrapText="1" shrinkToFit="1"/>
    </xf>
    <xf numFmtId="38"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8" fillId="0" borderId="15" xfId="0" applyFont="1" applyBorder="1" applyAlignment="1">
      <alignment vertical="center" wrapText="1"/>
    </xf>
    <xf numFmtId="182" fontId="4" fillId="0" borderId="15" xfId="0" applyNumberFormat="1" applyFont="1" applyBorder="1" applyAlignment="1">
      <alignment horizontal="center" vertical="center"/>
    </xf>
    <xf numFmtId="0" fontId="10" fillId="0" borderId="15" xfId="0" applyFont="1" applyBorder="1" applyAlignment="1">
      <alignment horizontal="center" vertical="center" shrinkToFit="1"/>
    </xf>
    <xf numFmtId="178" fontId="11" fillId="0" borderId="15" xfId="1" applyNumberFormat="1" applyFont="1" applyBorder="1" applyAlignment="1">
      <alignment vertical="center" shrinkToFit="1"/>
    </xf>
    <xf numFmtId="179" fontId="11" fillId="0" borderId="15" xfId="1" applyNumberFormat="1" applyFont="1" applyBorder="1" applyAlignment="1">
      <alignment vertical="center" shrinkToFit="1"/>
    </xf>
    <xf numFmtId="38" fontId="4" fillId="0" borderId="15" xfId="1" applyFont="1" applyBorder="1" applyAlignment="1">
      <alignment horizontal="center" vertical="center"/>
    </xf>
    <xf numFmtId="0" fontId="3" fillId="0" borderId="33" xfId="0" applyFont="1" applyBorder="1">
      <alignment vertical="center"/>
    </xf>
    <xf numFmtId="0" fontId="3" fillId="0" borderId="35"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36" xfId="0" applyFont="1" applyBorder="1">
      <alignment vertical="center"/>
    </xf>
    <xf numFmtId="0" fontId="3" fillId="0" borderId="36" xfId="0" applyFont="1" applyBorder="1">
      <alignment vertical="center"/>
    </xf>
    <xf numFmtId="0" fontId="11" fillId="0" borderId="0" xfId="0" applyFont="1" applyBorder="1">
      <alignment vertical="center"/>
    </xf>
    <xf numFmtId="177" fontId="3" fillId="0" borderId="35" xfId="0" applyNumberFormat="1" applyFont="1" applyBorder="1">
      <alignment vertical="center"/>
    </xf>
    <xf numFmtId="38" fontId="3" fillId="0" borderId="0" xfId="1" applyFont="1" applyBorder="1">
      <alignment vertical="center"/>
    </xf>
    <xf numFmtId="0" fontId="5" fillId="0" borderId="0" xfId="0" applyFont="1" applyBorder="1" applyAlignment="1">
      <alignment horizontal="right" vertical="center" wrapText="1"/>
    </xf>
    <xf numFmtId="0" fontId="3" fillId="0" borderId="2" xfId="0" applyFont="1" applyBorder="1">
      <alignment vertical="center"/>
    </xf>
    <xf numFmtId="0" fontId="3" fillId="0" borderId="32" xfId="0" applyFont="1" applyBorder="1">
      <alignment vertical="center"/>
    </xf>
    <xf numFmtId="0" fontId="3" fillId="0" borderId="37" xfId="0" applyFont="1" applyBorder="1">
      <alignment vertical="center"/>
    </xf>
    <xf numFmtId="38" fontId="3" fillId="0" borderId="18" xfId="1" applyFont="1" applyBorder="1">
      <alignment vertical="center"/>
    </xf>
    <xf numFmtId="38" fontId="3" fillId="0" borderId="16" xfId="1" applyFont="1" applyBorder="1">
      <alignment vertical="center"/>
    </xf>
    <xf numFmtId="38" fontId="3" fillId="0" borderId="17" xfId="1" applyFont="1" applyBorder="1" applyAlignment="1">
      <alignment horizontal="center" vertical="center"/>
    </xf>
    <xf numFmtId="38" fontId="3" fillId="0" borderId="17" xfId="1" applyFont="1" applyBorder="1">
      <alignment vertical="center"/>
    </xf>
    <xf numFmtId="38" fontId="3" fillId="0" borderId="38" xfId="1" applyFont="1" applyBorder="1">
      <alignment vertical="center"/>
    </xf>
    <xf numFmtId="176" fontId="3" fillId="0" borderId="39" xfId="1" applyNumberFormat="1" applyFont="1" applyBorder="1">
      <alignment vertical="center"/>
    </xf>
    <xf numFmtId="38" fontId="3" fillId="0" borderId="40" xfId="1" applyFont="1" applyBorder="1">
      <alignment vertical="center"/>
    </xf>
    <xf numFmtId="40" fontId="3" fillId="0" borderId="39" xfId="1" applyNumberFormat="1" applyFont="1" applyBorder="1">
      <alignment vertical="center"/>
    </xf>
    <xf numFmtId="38" fontId="3" fillId="0" borderId="40" xfId="1" applyNumberFormat="1" applyFont="1" applyBorder="1">
      <alignment vertical="center"/>
    </xf>
    <xf numFmtId="38" fontId="3" fillId="0" borderId="38" xfId="1" applyFont="1" applyBorder="1" applyAlignment="1">
      <alignment horizontal="center" vertical="center"/>
    </xf>
    <xf numFmtId="176" fontId="3" fillId="0" borderId="39" xfId="1" applyNumberFormat="1" applyFont="1" applyBorder="1" applyAlignment="1">
      <alignment horizontal="center" vertical="center"/>
    </xf>
    <xf numFmtId="176" fontId="3" fillId="0" borderId="40" xfId="1" applyNumberFormat="1" applyFont="1" applyBorder="1" applyAlignment="1">
      <alignment horizontal="center" vertical="center"/>
    </xf>
    <xf numFmtId="0" fontId="6" fillId="0" borderId="0" xfId="0" applyFont="1" applyBorder="1" applyAlignment="1">
      <alignment horizontal="center" vertical="center" shrinkToFit="1"/>
    </xf>
    <xf numFmtId="180" fontId="11" fillId="0" borderId="0" xfId="1" applyNumberFormat="1" applyFont="1" applyBorder="1" applyAlignment="1">
      <alignment vertical="center" shrinkToFit="1"/>
    </xf>
    <xf numFmtId="0" fontId="6" fillId="0" borderId="15" xfId="0" applyFont="1" applyBorder="1" applyAlignment="1">
      <alignment horizontal="center" vertical="center" wrapText="1" shrinkToFit="1"/>
    </xf>
    <xf numFmtId="38" fontId="3" fillId="0" borderId="0" xfId="0" applyNumberFormat="1" applyFont="1" applyBorder="1" applyAlignment="1">
      <alignment vertical="center" shrinkToFit="1"/>
    </xf>
    <xf numFmtId="0" fontId="3" fillId="0" borderId="0" xfId="0" applyFont="1" applyBorder="1" applyAlignment="1">
      <alignment horizontal="center" vertical="top"/>
    </xf>
    <xf numFmtId="0" fontId="5" fillId="0" borderId="0" xfId="0" applyFont="1">
      <alignment vertical="center"/>
    </xf>
    <xf numFmtId="0" fontId="14" fillId="0" borderId="1" xfId="0" applyFont="1" applyBorder="1" applyAlignment="1">
      <alignment horizontal="center" vertical="center"/>
    </xf>
    <xf numFmtId="38" fontId="4" fillId="0" borderId="17" xfId="1" applyFont="1" applyBorder="1" applyAlignment="1">
      <alignment vertical="center" justifyLastLine="1"/>
    </xf>
    <xf numFmtId="38" fontId="4" fillId="0" borderId="18" xfId="1" applyFont="1" applyBorder="1" applyAlignment="1">
      <alignment vertical="center" justifyLastLine="1"/>
    </xf>
    <xf numFmtId="0" fontId="4" fillId="0" borderId="15" xfId="0" applyFont="1" applyBorder="1" applyAlignment="1">
      <alignment horizontal="center" vertical="center" shrinkToFit="1"/>
    </xf>
    <xf numFmtId="38" fontId="3" fillId="0" borderId="0" xfId="1" applyNumberFormat="1" applyFont="1">
      <alignment vertical="center"/>
    </xf>
    <xf numFmtId="38" fontId="3" fillId="0" borderId="15" xfId="1" applyFont="1" applyBorder="1" applyAlignment="1">
      <alignment horizontal="center" vertical="center" shrinkToFit="1"/>
    </xf>
    <xf numFmtId="38" fontId="4" fillId="0" borderId="0" xfId="1" applyFont="1" applyBorder="1" applyAlignment="1">
      <alignment horizontal="center" vertical="center"/>
    </xf>
    <xf numFmtId="176" fontId="3" fillId="0" borderId="42" xfId="1" applyNumberFormat="1" applyFont="1" applyBorder="1" applyAlignment="1">
      <alignment horizontal="center" vertical="center"/>
    </xf>
    <xf numFmtId="176" fontId="3" fillId="0" borderId="42" xfId="1" applyNumberFormat="1" applyFont="1" applyBorder="1">
      <alignment vertical="center"/>
    </xf>
    <xf numFmtId="38" fontId="3" fillId="0" borderId="41" xfId="1" applyNumberFormat="1" applyFont="1" applyBorder="1" applyAlignment="1">
      <alignment vertical="center"/>
    </xf>
    <xf numFmtId="38" fontId="3" fillId="0" borderId="16" xfId="1" applyFont="1" applyBorder="1" applyAlignment="1">
      <alignment horizontal="center" vertical="center"/>
    </xf>
    <xf numFmtId="176" fontId="3" fillId="0" borderId="38" xfId="1" applyNumberFormat="1" applyFont="1" applyBorder="1" applyAlignment="1">
      <alignment horizontal="center" vertical="center"/>
    </xf>
    <xf numFmtId="176" fontId="3" fillId="0" borderId="38" xfId="1" applyNumberFormat="1" applyFont="1" applyBorder="1">
      <alignment vertical="center"/>
    </xf>
    <xf numFmtId="40" fontId="3" fillId="0" borderId="38" xfId="1" applyNumberFormat="1" applyFont="1" applyBorder="1">
      <alignment vertical="center"/>
    </xf>
    <xf numFmtId="38" fontId="3" fillId="0" borderId="45" xfId="1" applyNumberFormat="1" applyFont="1" applyBorder="1">
      <alignment vertical="center"/>
    </xf>
    <xf numFmtId="38" fontId="3" fillId="0" borderId="0" xfId="1" applyNumberFormat="1" applyFont="1" applyAlignment="1">
      <alignment horizontal="center" vertical="center"/>
    </xf>
    <xf numFmtId="38" fontId="4" fillId="0" borderId="0" xfId="1" applyFont="1" applyBorder="1" applyAlignment="1">
      <alignment vertical="center" justifyLastLine="1"/>
    </xf>
    <xf numFmtId="0" fontId="4" fillId="0" borderId="0" xfId="0" applyFont="1" applyBorder="1" applyAlignment="1">
      <alignment horizontal="center" vertical="center"/>
    </xf>
    <xf numFmtId="182" fontId="3" fillId="0" borderId="0" xfId="0" applyNumberFormat="1" applyFont="1" applyBorder="1" applyAlignment="1">
      <alignment horizontal="center" vertical="center" shrinkToFit="1"/>
    </xf>
    <xf numFmtId="38" fontId="3" fillId="0" borderId="0" xfId="1" applyFont="1" applyBorder="1" applyAlignment="1">
      <alignment horizontal="center" vertical="center"/>
    </xf>
    <xf numFmtId="38" fontId="18" fillId="0" borderId="0" xfId="1" applyFont="1">
      <alignment vertical="center"/>
    </xf>
    <xf numFmtId="38" fontId="5" fillId="0" borderId="15" xfId="1" applyFont="1" applyBorder="1" applyAlignment="1">
      <alignment horizontal="center" vertical="center" wrapText="1" shrinkToFit="1"/>
    </xf>
    <xf numFmtId="176" fontId="3" fillId="0" borderId="0" xfId="1" applyNumberFormat="1" applyFont="1" applyAlignment="1">
      <alignment horizontal="center" vertical="center"/>
    </xf>
    <xf numFmtId="38" fontId="17" fillId="0" borderId="0" xfId="1" applyFont="1" applyBorder="1" applyAlignment="1">
      <alignment horizontal="center" vertical="center"/>
    </xf>
    <xf numFmtId="176" fontId="3" fillId="0" borderId="15" xfId="1" applyNumberFormat="1" applyFont="1" applyBorder="1" applyAlignment="1">
      <alignment horizontal="center" vertical="center"/>
    </xf>
    <xf numFmtId="38" fontId="3" fillId="0" borderId="15" xfId="1" applyNumberFormat="1" applyFont="1" applyBorder="1">
      <alignment vertical="center"/>
    </xf>
    <xf numFmtId="176" fontId="3" fillId="0" borderId="0" xfId="1" applyNumberFormat="1" applyFont="1" applyBorder="1" applyAlignment="1">
      <alignment horizontal="center" vertical="center"/>
    </xf>
    <xf numFmtId="38" fontId="3" fillId="0" borderId="0" xfId="1" applyNumberFormat="1" applyFont="1" applyBorder="1">
      <alignment vertical="center"/>
    </xf>
    <xf numFmtId="176" fontId="3" fillId="0" borderId="0" xfId="1" applyNumberFormat="1" applyFont="1" applyBorder="1">
      <alignment vertical="center"/>
    </xf>
    <xf numFmtId="176" fontId="17" fillId="0" borderId="0" xfId="1" applyNumberFormat="1" applyFont="1" applyBorder="1">
      <alignment vertical="center"/>
    </xf>
    <xf numFmtId="38" fontId="3" fillId="0" borderId="25" xfId="1" applyFont="1" applyBorder="1">
      <alignment vertical="center"/>
    </xf>
    <xf numFmtId="38" fontId="3" fillId="0" borderId="25" xfId="1" applyFont="1" applyBorder="1" applyAlignment="1">
      <alignment horizontal="center" vertical="center"/>
    </xf>
    <xf numFmtId="38" fontId="3" fillId="0" borderId="46" xfId="1" applyFont="1" applyBorder="1" applyAlignment="1">
      <alignment horizontal="center" vertical="center" wrapText="1" shrinkToFit="1"/>
    </xf>
    <xf numFmtId="38" fontId="3" fillId="0" borderId="19" xfId="1" applyFont="1" applyBorder="1" applyAlignment="1">
      <alignment horizontal="center" vertical="center"/>
    </xf>
    <xf numFmtId="38" fontId="3" fillId="0" borderId="17" xfId="1" applyFont="1" applyBorder="1" applyAlignment="1">
      <alignment horizontal="center" vertical="center" wrapText="1" shrinkToFit="1"/>
    </xf>
    <xf numFmtId="38" fontId="3" fillId="0" borderId="27" xfId="1" applyFont="1" applyBorder="1" applyAlignment="1">
      <alignment horizontal="center" vertical="center"/>
    </xf>
    <xf numFmtId="38" fontId="3" fillId="0" borderId="19" xfId="1" applyFont="1" applyBorder="1">
      <alignment vertical="center"/>
    </xf>
    <xf numFmtId="38" fontId="5" fillId="2" borderId="46" xfId="1" applyFont="1" applyFill="1" applyBorder="1" applyAlignment="1">
      <alignment horizontal="center" vertical="center" wrapText="1"/>
    </xf>
    <xf numFmtId="38" fontId="3" fillId="2" borderId="46" xfId="1" applyFont="1" applyFill="1" applyBorder="1" applyAlignment="1">
      <alignment horizontal="center" vertical="center"/>
    </xf>
    <xf numFmtId="20" fontId="3" fillId="0" borderId="0" xfId="1" applyNumberFormat="1" applyFont="1">
      <alignment vertical="center"/>
    </xf>
    <xf numFmtId="38" fontId="3" fillId="0" borderId="0" xfId="1" applyFont="1" applyBorder="1" applyAlignment="1">
      <alignment horizontal="center" vertical="center" wrapText="1" shrinkToFit="1"/>
    </xf>
    <xf numFmtId="38" fontId="3" fillId="0" borderId="0" xfId="1" applyFont="1" applyBorder="1" applyAlignment="1">
      <alignment vertical="center"/>
    </xf>
    <xf numFmtId="0" fontId="19" fillId="0" borderId="33" xfId="0" applyFont="1" applyBorder="1">
      <alignment vertical="center"/>
    </xf>
    <xf numFmtId="38" fontId="3" fillId="0" borderId="0" xfId="0" applyNumberFormat="1" applyFont="1" applyBorder="1" applyAlignment="1">
      <alignment horizontal="center" vertical="center" shrinkToFit="1"/>
    </xf>
    <xf numFmtId="38" fontId="3" fillId="0" borderId="0" xfId="1" applyFont="1" applyAlignment="1">
      <alignment horizontal="left" vertical="center"/>
    </xf>
    <xf numFmtId="38" fontId="3" fillId="0" borderId="0" xfId="1" applyFont="1" applyBorder="1" applyAlignment="1">
      <alignment horizontal="left" vertical="center"/>
    </xf>
    <xf numFmtId="0" fontId="5" fillId="0" borderId="15" xfId="0" applyFont="1" applyBorder="1" applyAlignment="1">
      <alignment horizontal="center" vertical="center"/>
    </xf>
    <xf numFmtId="0" fontId="23" fillId="0" borderId="15"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46" xfId="0" applyFont="1" applyBorder="1" applyAlignment="1">
      <alignment horizontal="center" vertical="center" shrinkToFit="1"/>
    </xf>
    <xf numFmtId="0" fontId="10" fillId="0" borderId="15" xfId="0" applyFont="1" applyBorder="1" applyAlignment="1">
      <alignment horizontal="center" vertical="center" wrapText="1" shrinkToFit="1"/>
    </xf>
    <xf numFmtId="0" fontId="7" fillId="0" borderId="0" xfId="0" applyFont="1" applyAlignment="1">
      <alignment vertical="top"/>
    </xf>
    <xf numFmtId="178" fontId="11" fillId="0" borderId="15" xfId="1" applyNumberFormat="1" applyFont="1" applyBorder="1" applyAlignment="1">
      <alignment horizontal="center" vertical="center" shrinkToFit="1"/>
    </xf>
    <xf numFmtId="180" fontId="9" fillId="7" borderId="15" xfId="1" applyNumberFormat="1" applyFont="1" applyFill="1" applyBorder="1" applyAlignment="1">
      <alignment vertical="center" shrinkToFit="1"/>
    </xf>
    <xf numFmtId="38" fontId="3" fillId="7" borderId="15" xfId="1" applyFont="1" applyFill="1" applyBorder="1">
      <alignment vertical="center"/>
    </xf>
    <xf numFmtId="0" fontId="27" fillId="0" borderId="8" xfId="0" applyFont="1" applyBorder="1" applyAlignment="1" applyProtection="1">
      <alignment horizontal="center" vertical="center" wrapText="1"/>
      <protection locked="0"/>
    </xf>
    <xf numFmtId="38" fontId="27" fillId="0" borderId="8" xfId="1" applyFont="1" applyBorder="1" applyProtection="1">
      <alignment vertical="center"/>
      <protection locked="0"/>
    </xf>
    <xf numFmtId="177" fontId="27" fillId="0" borderId="8" xfId="0" applyNumberFormat="1"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10" xfId="0" applyFont="1" applyBorder="1" applyAlignment="1" applyProtection="1">
      <alignment horizontal="center" vertical="center" wrapText="1" shrinkToFit="1"/>
      <protection locked="0"/>
    </xf>
    <xf numFmtId="38" fontId="27" fillId="0" borderId="10" xfId="1" applyFont="1" applyBorder="1" applyProtection="1">
      <alignment vertical="center"/>
      <protection locked="0"/>
    </xf>
    <xf numFmtId="177" fontId="27" fillId="0" borderId="10" xfId="0" applyNumberFormat="1"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3" xfId="0" applyFont="1" applyBorder="1" applyAlignment="1" applyProtection="1">
      <alignment horizontal="center" vertical="center" wrapText="1" shrinkToFit="1"/>
      <protection locked="0"/>
    </xf>
    <xf numFmtId="38" fontId="27" fillId="0" borderId="13" xfId="1" applyFont="1" applyBorder="1" applyProtection="1">
      <alignment vertical="center"/>
      <protection locked="0"/>
    </xf>
    <xf numFmtId="177" fontId="27" fillId="0" borderId="13" xfId="0" applyNumberFormat="1"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5" fillId="5" borderId="0" xfId="0" applyFont="1" applyFill="1" applyAlignme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13" fillId="4" borderId="0" xfId="0" applyFont="1" applyFill="1" applyAlignment="1" applyProtection="1">
      <alignment vertical="center" shrinkToFit="1"/>
    </xf>
    <xf numFmtId="0" fontId="3" fillId="4" borderId="0" xfId="0" applyFont="1" applyFill="1" applyAlignment="1" applyProtection="1">
      <alignment horizontal="center" vertical="center"/>
    </xf>
    <xf numFmtId="0" fontId="25" fillId="5" borderId="0" xfId="0" applyFont="1" applyFill="1" applyAlignment="1" applyProtection="1">
      <alignment horizontal="center" vertical="center"/>
    </xf>
    <xf numFmtId="0" fontId="27" fillId="4" borderId="0" xfId="0" applyFont="1" applyFill="1" applyAlignment="1" applyProtection="1">
      <alignment horizontal="center" vertical="center"/>
    </xf>
    <xf numFmtId="0" fontId="27" fillId="4" borderId="0" xfId="0" applyFont="1" applyFill="1" applyProtection="1">
      <alignment vertical="center"/>
    </xf>
    <xf numFmtId="0" fontId="27" fillId="5" borderId="0" xfId="0" applyFont="1" applyFill="1" applyProtection="1">
      <alignment vertical="center"/>
    </xf>
    <xf numFmtId="0" fontId="18" fillId="0" borderId="0" xfId="0" applyFont="1" applyProtection="1">
      <alignment vertical="center"/>
    </xf>
    <xf numFmtId="0" fontId="3" fillId="4" borderId="0" xfId="0" applyFont="1" applyFill="1" applyProtection="1">
      <alignment vertical="center"/>
    </xf>
    <xf numFmtId="0" fontId="27" fillId="5" borderId="15" xfId="0" applyFont="1" applyFill="1" applyBorder="1" applyProtection="1">
      <alignment vertical="center"/>
    </xf>
    <xf numFmtId="0" fontId="27" fillId="5" borderId="15" xfId="0" applyFont="1" applyFill="1" applyBorder="1" applyAlignment="1" applyProtection="1">
      <alignment horizontal="center" vertical="center"/>
    </xf>
    <xf numFmtId="0" fontId="12" fillId="4" borderId="0" xfId="0" applyFont="1" applyFill="1" applyProtection="1">
      <alignment vertical="center"/>
    </xf>
    <xf numFmtId="0" fontId="3" fillId="4" borderId="0" xfId="0" applyFont="1" applyFill="1" applyAlignment="1" applyProtection="1">
      <alignment vertical="top"/>
    </xf>
    <xf numFmtId="0" fontId="27" fillId="4" borderId="29" xfId="0" applyFont="1" applyFill="1" applyBorder="1" applyAlignment="1" applyProtection="1">
      <alignment vertical="center"/>
    </xf>
    <xf numFmtId="0" fontId="27" fillId="4" borderId="29" xfId="0" applyFont="1" applyFill="1" applyBorder="1" applyProtection="1">
      <alignment vertical="center"/>
    </xf>
    <xf numFmtId="0" fontId="28" fillId="4" borderId="0" xfId="0" applyFont="1" applyFill="1" applyAlignment="1" applyProtection="1">
      <alignment vertical="center"/>
    </xf>
    <xf numFmtId="177" fontId="3" fillId="0" borderId="0" xfId="0" applyNumberFormat="1" applyFont="1" applyProtection="1">
      <alignment vertical="center"/>
    </xf>
    <xf numFmtId="0" fontId="27" fillId="3" borderId="26" xfId="0" applyFont="1" applyFill="1" applyBorder="1" applyAlignment="1" applyProtection="1">
      <alignment horizontal="distributed" vertical="center" justifyLastLine="1" shrinkToFit="1"/>
    </xf>
    <xf numFmtId="0" fontId="27" fillId="3" borderId="3" xfId="0" applyFont="1" applyFill="1" applyBorder="1" applyAlignment="1" applyProtection="1">
      <alignment horizontal="center" vertical="center" shrinkToFit="1"/>
    </xf>
    <xf numFmtId="0" fontId="27" fillId="3" borderId="3" xfId="0" applyFont="1" applyFill="1" applyBorder="1" applyAlignment="1" applyProtection="1">
      <alignment horizontal="distributed" vertical="center" justifyLastLine="1" shrinkToFit="1"/>
    </xf>
    <xf numFmtId="0" fontId="27" fillId="3" borderId="3" xfId="0" applyFont="1" applyFill="1" applyBorder="1" applyAlignment="1" applyProtection="1">
      <alignment horizontal="center" vertical="center" justifyLastLine="1" shrinkToFit="1"/>
    </xf>
    <xf numFmtId="0" fontId="27" fillId="3" borderId="4" xfId="0" applyFont="1" applyFill="1" applyBorder="1" applyAlignment="1" applyProtection="1">
      <alignment horizontal="distributed" vertical="center" justifyLastLine="1" shrinkToFit="1"/>
    </xf>
    <xf numFmtId="0" fontId="27" fillId="3" borderId="7" xfId="0" applyFont="1" applyFill="1" applyBorder="1" applyAlignment="1" applyProtection="1">
      <alignment horizontal="center" vertical="center" shrinkToFit="1"/>
    </xf>
    <xf numFmtId="0" fontId="27" fillId="3" borderId="9" xfId="0" applyFont="1" applyFill="1" applyBorder="1" applyAlignment="1" applyProtection="1">
      <alignment horizontal="center" vertical="center"/>
    </xf>
    <xf numFmtId="0" fontId="27" fillId="3" borderId="12" xfId="0" applyFont="1" applyFill="1" applyBorder="1" applyAlignment="1" applyProtection="1">
      <alignment horizontal="center" vertical="center"/>
    </xf>
    <xf numFmtId="0" fontId="27" fillId="4" borderId="0" xfId="0" applyFont="1" applyFill="1" applyBorder="1" applyAlignment="1" applyProtection="1">
      <alignment horizontal="center" vertical="center"/>
    </xf>
    <xf numFmtId="0" fontId="27" fillId="4" borderId="0" xfId="0" applyFont="1" applyFill="1" applyBorder="1" applyProtection="1">
      <alignment vertical="center"/>
    </xf>
    <xf numFmtId="38" fontId="27" fillId="4" borderId="0" xfId="1" applyFont="1" applyFill="1" applyBorder="1" applyProtection="1">
      <alignment vertical="center"/>
    </xf>
    <xf numFmtId="177" fontId="27" fillId="4" borderId="0" xfId="0" applyNumberFormat="1" applyFont="1" applyFill="1" applyBorder="1" applyAlignment="1" applyProtection="1">
      <alignment horizontal="center" vertical="center"/>
    </xf>
    <xf numFmtId="0" fontId="30" fillId="4" borderId="0" xfId="0" applyFont="1" applyFill="1" applyAlignment="1" applyProtection="1">
      <alignment horizontal="center" vertical="center"/>
    </xf>
    <xf numFmtId="0" fontId="30" fillId="4" borderId="0" xfId="0" applyFont="1" applyFill="1" applyAlignment="1" applyProtection="1">
      <alignment horizontal="left" vertical="center" indent="1"/>
    </xf>
    <xf numFmtId="0" fontId="30" fillId="4" borderId="0" xfId="0" applyFont="1" applyFill="1" applyProtection="1">
      <alignment vertical="center"/>
    </xf>
    <xf numFmtId="0" fontId="36" fillId="4" borderId="0" xfId="0" applyFont="1" applyFill="1" applyAlignment="1" applyProtection="1">
      <alignment horizontal="left" vertical="center" indent="1"/>
    </xf>
    <xf numFmtId="0" fontId="30" fillId="4" borderId="0" xfId="0" applyFont="1" applyFill="1" applyAlignment="1" applyProtection="1">
      <alignment vertical="center"/>
    </xf>
    <xf numFmtId="0" fontId="3" fillId="4" borderId="0" xfId="0" applyFont="1" applyFill="1" applyAlignment="1" applyProtection="1">
      <alignment vertical="center"/>
    </xf>
    <xf numFmtId="0" fontId="30" fillId="4" borderId="0" xfId="0" applyFont="1" applyFill="1" applyAlignment="1" applyProtection="1">
      <alignment horizontal="left" vertical="center"/>
    </xf>
    <xf numFmtId="0" fontId="3" fillId="0" borderId="0" xfId="0" applyFont="1" applyBorder="1" applyProtection="1">
      <alignment vertical="center"/>
    </xf>
    <xf numFmtId="0" fontId="40" fillId="4" borderId="0" xfId="0" applyFont="1" applyFill="1" applyAlignment="1" applyProtection="1">
      <alignment horizontal="center" vertical="center"/>
    </xf>
    <xf numFmtId="0" fontId="27" fillId="5" borderId="0" xfId="0" applyFont="1" applyFill="1" applyProtection="1">
      <alignment vertical="center"/>
      <protection hidden="1"/>
    </xf>
    <xf numFmtId="184" fontId="27" fillId="5" borderId="15" xfId="0" applyNumberFormat="1" applyFont="1" applyFill="1" applyBorder="1" applyAlignment="1" applyProtection="1">
      <alignment horizontal="center" vertical="center"/>
      <protection hidden="1"/>
    </xf>
    <xf numFmtId="0" fontId="27" fillId="3" borderId="11" xfId="0" applyFont="1" applyFill="1" applyBorder="1" applyAlignment="1" applyProtection="1">
      <alignment horizontal="center" vertical="center"/>
      <protection hidden="1"/>
    </xf>
    <xf numFmtId="0" fontId="27" fillId="3" borderId="14" xfId="0" applyFont="1" applyFill="1" applyBorder="1" applyAlignment="1" applyProtection="1">
      <alignment horizontal="center" vertical="center"/>
      <protection hidden="1"/>
    </xf>
    <xf numFmtId="0" fontId="36" fillId="4" borderId="0" xfId="0" applyFont="1" applyFill="1" applyAlignment="1" applyProtection="1">
      <alignment horizontal="center" vertical="center"/>
    </xf>
    <xf numFmtId="180" fontId="44" fillId="0" borderId="15" xfId="0" applyNumberFormat="1" applyFont="1" applyBorder="1">
      <alignment vertical="center"/>
    </xf>
    <xf numFmtId="181" fontId="44" fillId="0" borderId="30" xfId="0" applyNumberFormat="1" applyFont="1" applyBorder="1">
      <alignment vertical="center"/>
    </xf>
    <xf numFmtId="182" fontId="44" fillId="0" borderId="15" xfId="0" applyNumberFormat="1" applyFont="1" applyBorder="1" applyAlignment="1">
      <alignment horizontal="center" vertical="center"/>
    </xf>
    <xf numFmtId="0" fontId="45" fillId="0" borderId="10" xfId="0" applyNumberFormat="1" applyFont="1" applyBorder="1" applyAlignment="1">
      <alignment horizontal="right" vertical="center"/>
    </xf>
    <xf numFmtId="181" fontId="44" fillId="0" borderId="10" xfId="0" applyNumberFormat="1" applyFont="1" applyBorder="1">
      <alignment vertical="center"/>
    </xf>
    <xf numFmtId="185" fontId="45" fillId="0" borderId="10" xfId="0" applyNumberFormat="1" applyFont="1" applyBorder="1" applyAlignment="1">
      <alignment horizontal="right" vertical="center"/>
    </xf>
    <xf numFmtId="185" fontId="45" fillId="0" borderId="51" xfId="0" applyNumberFormat="1" applyFont="1" applyBorder="1" applyAlignment="1">
      <alignment horizontal="right" vertical="center"/>
    </xf>
    <xf numFmtId="181" fontId="44" fillId="0" borderId="51" xfId="0" applyNumberFormat="1" applyFont="1" applyBorder="1">
      <alignment vertical="center"/>
    </xf>
    <xf numFmtId="179" fontId="44" fillId="0" borderId="15" xfId="1" applyNumberFormat="1" applyFont="1" applyBorder="1" applyAlignment="1">
      <alignment vertical="center" shrinkToFit="1"/>
    </xf>
    <xf numFmtId="178" fontId="44" fillId="0" borderId="15" xfId="1" applyNumberFormat="1" applyFont="1" applyBorder="1" applyAlignment="1">
      <alignment vertical="center" shrinkToFit="1"/>
    </xf>
    <xf numFmtId="0" fontId="44" fillId="0" borderId="15" xfId="0" applyFont="1" applyBorder="1" applyAlignment="1">
      <alignment horizontal="center" vertical="center"/>
    </xf>
    <xf numFmtId="180" fontId="44" fillId="0" borderId="15" xfId="1" applyNumberFormat="1" applyFont="1" applyBorder="1" applyAlignment="1">
      <alignment vertical="center" shrinkToFit="1"/>
    </xf>
    <xf numFmtId="180" fontId="44" fillId="0" borderId="27" xfId="1" applyNumberFormat="1" applyFont="1" applyBorder="1" applyAlignment="1">
      <alignment vertical="center" shrinkToFit="1"/>
    </xf>
    <xf numFmtId="180" fontId="44" fillId="0" borderId="47" xfId="1" applyNumberFormat="1" applyFont="1" applyBorder="1" applyAlignment="1">
      <alignment vertical="center" shrinkToFit="1"/>
    </xf>
    <xf numFmtId="180" fontId="44" fillId="0" borderId="52" xfId="1" applyNumberFormat="1" applyFont="1" applyBorder="1" applyAlignment="1">
      <alignment vertical="center" shrinkToFit="1"/>
    </xf>
    <xf numFmtId="180" fontId="44" fillId="0" borderId="19" xfId="1" applyNumberFormat="1" applyFont="1" applyBorder="1" applyAlignment="1">
      <alignment vertical="center" shrinkToFit="1"/>
    </xf>
    <xf numFmtId="180" fontId="44" fillId="0" borderId="48" xfId="1" applyNumberFormat="1" applyFont="1" applyBorder="1" applyAlignment="1">
      <alignment vertical="center" shrinkToFit="1"/>
    </xf>
    <xf numFmtId="0" fontId="47" fillId="0" borderId="15" xfId="0" applyFont="1" applyBorder="1" applyAlignment="1">
      <alignment horizontal="center" vertical="center"/>
    </xf>
    <xf numFmtId="38" fontId="47" fillId="0" borderId="15" xfId="0" applyNumberFormat="1" applyFont="1" applyBorder="1" applyAlignment="1">
      <alignment vertical="center" shrinkToFit="1"/>
    </xf>
    <xf numFmtId="38" fontId="47" fillId="0" borderId="15" xfId="0" applyNumberFormat="1" applyFont="1" applyBorder="1" applyAlignment="1">
      <alignment horizontal="center" vertical="center" shrinkToFit="1"/>
    </xf>
    <xf numFmtId="177" fontId="47" fillId="0" borderId="15" xfId="0" applyNumberFormat="1" applyFont="1" applyBorder="1" applyAlignment="1">
      <alignment horizontal="center" vertical="center" shrinkToFit="1"/>
    </xf>
    <xf numFmtId="38" fontId="47" fillId="0" borderId="15" xfId="1" applyFont="1" applyBorder="1" applyAlignment="1">
      <alignment vertical="center" shrinkToFit="1"/>
    </xf>
    <xf numFmtId="38" fontId="47" fillId="0" borderId="15" xfId="0" applyNumberFormat="1" applyFont="1" applyBorder="1">
      <alignment vertical="center"/>
    </xf>
    <xf numFmtId="0" fontId="47" fillId="0" borderId="49" xfId="0" applyFont="1" applyBorder="1" applyAlignment="1">
      <alignment horizontal="center" vertical="center"/>
    </xf>
    <xf numFmtId="38" fontId="47" fillId="0" borderId="31" xfId="1" applyFont="1" applyBorder="1" applyAlignment="1">
      <alignment vertical="center" shrinkToFit="1"/>
    </xf>
    <xf numFmtId="38" fontId="47" fillId="0" borderId="31" xfId="0" applyNumberFormat="1" applyFont="1" applyBorder="1" applyAlignment="1">
      <alignment vertical="center" shrinkToFit="1"/>
    </xf>
    <xf numFmtId="38" fontId="47" fillId="0" borderId="31" xfId="1" applyFont="1" applyBorder="1">
      <alignment vertical="center"/>
    </xf>
    <xf numFmtId="38" fontId="47" fillId="0" borderId="27" xfId="0" applyNumberFormat="1" applyFont="1" applyBorder="1" applyAlignment="1">
      <alignment vertical="center" shrinkToFit="1"/>
    </xf>
    <xf numFmtId="38" fontId="47" fillId="0" borderId="15" xfId="1" applyFont="1" applyBorder="1" applyAlignment="1">
      <alignment vertical="center"/>
    </xf>
    <xf numFmtId="38" fontId="47" fillId="0" borderId="15" xfId="1" applyFont="1" applyBorder="1">
      <alignment vertical="center"/>
    </xf>
    <xf numFmtId="182" fontId="47" fillId="0" borderId="15" xfId="0" applyNumberFormat="1" applyFont="1" applyBorder="1" applyAlignment="1">
      <alignment horizontal="center" vertical="center" shrinkToFit="1"/>
    </xf>
    <xf numFmtId="38" fontId="47" fillId="0" borderId="16" xfId="1" applyFont="1" applyBorder="1">
      <alignment vertical="center"/>
    </xf>
    <xf numFmtId="0" fontId="47" fillId="0" borderId="20" xfId="0" applyFont="1" applyBorder="1" applyAlignment="1">
      <alignment horizontal="center" vertical="center"/>
    </xf>
    <xf numFmtId="0" fontId="47" fillId="0" borderId="5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47" fillId="0" borderId="19" xfId="0" applyFont="1" applyBorder="1" applyAlignment="1">
      <alignment horizontal="center" vertical="center"/>
    </xf>
    <xf numFmtId="0" fontId="47" fillId="0" borderId="27" xfId="0" applyFont="1" applyBorder="1" applyAlignment="1">
      <alignment horizontal="center" vertical="center"/>
    </xf>
    <xf numFmtId="0" fontId="47" fillId="0" borderId="31" xfId="0" applyFont="1" applyBorder="1" applyAlignment="1">
      <alignment horizontal="center" vertical="center"/>
    </xf>
    <xf numFmtId="10" fontId="11" fillId="0" borderId="15" xfId="2" applyNumberFormat="1" applyFont="1" applyBorder="1" applyAlignment="1">
      <alignment horizontal="center" vertical="center" shrinkToFit="1"/>
    </xf>
    <xf numFmtId="38" fontId="3" fillId="0" borderId="0" xfId="0" applyNumberFormat="1" applyFont="1" applyBorder="1" applyAlignment="1">
      <alignment horizontal="center" vertical="top"/>
    </xf>
    <xf numFmtId="180" fontId="50" fillId="0" borderId="0" xfId="0" applyNumberFormat="1" applyFont="1" applyAlignment="1">
      <alignment vertical="center" shrinkToFit="1"/>
    </xf>
    <xf numFmtId="180" fontId="44" fillId="0" borderId="53" xfId="1" applyNumberFormat="1" applyFont="1" applyBorder="1" applyAlignment="1">
      <alignment vertical="center" shrinkToFit="1"/>
    </xf>
    <xf numFmtId="180" fontId="44" fillId="0" borderId="31" xfId="1" applyNumberFormat="1" applyFont="1" applyBorder="1" applyAlignment="1">
      <alignment vertical="center" shrinkToFit="1"/>
    </xf>
    <xf numFmtId="180" fontId="44" fillId="0" borderId="16" xfId="1" applyNumberFormat="1" applyFont="1" applyBorder="1" applyAlignment="1">
      <alignment vertical="center" shrinkToFit="1"/>
    </xf>
    <xf numFmtId="38" fontId="47" fillId="0" borderId="47" xfId="1" applyFont="1" applyBorder="1" applyAlignment="1">
      <alignment vertical="center"/>
    </xf>
    <xf numFmtId="38" fontId="47" fillId="0" borderId="48" xfId="1" applyFont="1" applyBorder="1" applyAlignment="1">
      <alignment vertical="center"/>
    </xf>
    <xf numFmtId="38" fontId="47" fillId="0" borderId="19" xfId="1" applyFont="1" applyBorder="1" applyAlignment="1">
      <alignment vertical="center"/>
    </xf>
    <xf numFmtId="38" fontId="47" fillId="0" borderId="27" xfId="1" applyFont="1" applyBorder="1">
      <alignment vertical="center"/>
    </xf>
    <xf numFmtId="38" fontId="47" fillId="2" borderId="47" xfId="1" applyFont="1" applyFill="1" applyBorder="1">
      <alignment vertical="center"/>
    </xf>
    <xf numFmtId="38" fontId="47" fillId="2" borderId="48" xfId="1" applyFont="1" applyFill="1" applyBorder="1">
      <alignment vertical="center"/>
    </xf>
    <xf numFmtId="38" fontId="47" fillId="0" borderId="19" xfId="1" applyFont="1" applyBorder="1">
      <alignment vertical="center"/>
    </xf>
    <xf numFmtId="38" fontId="47" fillId="0" borderId="15" xfId="1" applyFont="1" applyBorder="1" applyAlignment="1">
      <alignment horizontal="center" vertical="center" shrinkToFit="1"/>
    </xf>
    <xf numFmtId="38" fontId="47" fillId="0" borderId="45" xfId="1" applyNumberFormat="1" applyFont="1" applyBorder="1">
      <alignment vertical="center"/>
    </xf>
    <xf numFmtId="38" fontId="47" fillId="0" borderId="27" xfId="1" applyFont="1" applyBorder="1" applyAlignment="1">
      <alignment vertical="center" shrinkToFit="1"/>
    </xf>
    <xf numFmtId="38" fontId="47" fillId="2" borderId="47" xfId="1" applyFont="1" applyFill="1" applyBorder="1" applyAlignment="1">
      <alignment vertical="center" shrinkToFit="1"/>
    </xf>
    <xf numFmtId="38" fontId="47" fillId="2" borderId="48" xfId="1" applyFont="1" applyFill="1" applyBorder="1" applyAlignment="1">
      <alignment vertical="center" shrinkToFit="1"/>
    </xf>
    <xf numFmtId="38" fontId="47" fillId="0" borderId="17" xfId="1" applyFont="1" applyBorder="1">
      <alignment vertical="center"/>
    </xf>
    <xf numFmtId="0" fontId="46" fillId="0" borderId="15" xfId="0" applyFont="1" applyBorder="1" applyAlignment="1">
      <alignment horizontal="center" vertical="center"/>
    </xf>
    <xf numFmtId="0" fontId="48" fillId="0" borderId="15" xfId="0" applyFont="1" applyBorder="1" applyAlignment="1">
      <alignment horizontal="center" vertical="center" shrinkToFit="1"/>
    </xf>
    <xf numFmtId="0" fontId="51" fillId="0" borderId="15" xfId="0" applyFont="1" applyBorder="1" applyAlignment="1">
      <alignment vertical="center" wrapText="1"/>
    </xf>
    <xf numFmtId="0" fontId="4" fillId="0" borderId="33" xfId="0" applyFont="1" applyBorder="1" applyAlignment="1">
      <alignment horizontal="right" vertical="center"/>
    </xf>
    <xf numFmtId="0" fontId="0" fillId="0" borderId="0" xfId="0" applyBorder="1">
      <alignment vertical="center"/>
    </xf>
    <xf numFmtId="0" fontId="3" fillId="0" borderId="34" xfId="0" applyFont="1" applyBorder="1">
      <alignment vertical="center"/>
    </xf>
    <xf numFmtId="0" fontId="54" fillId="4" borderId="0" xfId="0" applyFont="1" applyFill="1" applyAlignment="1" applyProtection="1">
      <alignment horizontal="left" vertical="center"/>
    </xf>
    <xf numFmtId="0" fontId="27" fillId="3" borderId="1" xfId="0" applyFont="1" applyFill="1" applyBorder="1" applyAlignment="1" applyProtection="1">
      <alignment horizontal="center" vertical="center" shrinkToFit="1"/>
    </xf>
    <xf numFmtId="0" fontId="27" fillId="3" borderId="2" xfId="0" applyFont="1" applyFill="1" applyBorder="1" applyAlignment="1" applyProtection="1">
      <alignment horizontal="center" vertical="center" shrinkToFit="1"/>
    </xf>
    <xf numFmtId="0" fontId="27" fillId="3" borderId="6" xfId="0" applyFont="1" applyFill="1" applyBorder="1" applyAlignment="1" applyProtection="1">
      <alignment horizontal="distributed" vertical="center" justifyLastLine="1" shrinkToFit="1"/>
    </xf>
    <xf numFmtId="0" fontId="27" fillId="3" borderId="5" xfId="0" applyFont="1" applyFill="1" applyBorder="1" applyAlignment="1" applyProtection="1">
      <alignment horizontal="distributed" vertical="center" justifyLastLine="1" shrinkToFit="1"/>
    </xf>
    <xf numFmtId="183" fontId="27" fillId="5" borderId="15" xfId="0" applyNumberFormat="1" applyFont="1" applyFill="1" applyBorder="1" applyAlignment="1" applyProtection="1">
      <alignment horizontal="center" vertical="center"/>
      <protection hidden="1"/>
    </xf>
    <xf numFmtId="0" fontId="27" fillId="4" borderId="0" xfId="0" applyFont="1" applyFill="1" applyAlignment="1" applyProtection="1">
      <alignment vertical="center"/>
    </xf>
    <xf numFmtId="0" fontId="27" fillId="4" borderId="0" xfId="0" applyFont="1" applyFill="1" applyProtection="1">
      <alignment vertical="center"/>
      <protection hidden="1"/>
    </xf>
    <xf numFmtId="0" fontId="32" fillId="4" borderId="0" xfId="0" applyFont="1" applyFill="1" applyProtection="1">
      <alignment vertical="center"/>
    </xf>
    <xf numFmtId="0" fontId="26" fillId="6" borderId="0" xfId="0" applyFont="1" applyFill="1" applyAlignment="1" applyProtection="1">
      <alignment horizontal="center" vertical="center" wrapText="1" shrinkToFit="1"/>
    </xf>
    <xf numFmtId="0" fontId="36" fillId="4" borderId="0" xfId="0" applyFont="1" applyFill="1" applyProtection="1">
      <alignment vertical="center"/>
    </xf>
    <xf numFmtId="0" fontId="30" fillId="4" borderId="0" xfId="0" applyFont="1" applyFill="1" applyProtection="1">
      <alignment vertical="center"/>
    </xf>
    <xf numFmtId="0" fontId="27" fillId="5" borderId="15" xfId="0" applyFont="1" applyFill="1" applyBorder="1" applyAlignment="1" applyProtection="1">
      <alignment horizontal="center" vertical="center"/>
    </xf>
    <xf numFmtId="0" fontId="27" fillId="4" borderId="0" xfId="0" applyFont="1" applyFill="1" applyAlignment="1" applyProtection="1">
      <alignment vertical="top"/>
    </xf>
    <xf numFmtId="0" fontId="30" fillId="3" borderId="26" xfId="0" applyFont="1" applyFill="1" applyBorder="1" applyAlignment="1" applyProtection="1">
      <alignment vertical="center" wrapText="1" shrinkToFit="1"/>
    </xf>
    <xf numFmtId="0" fontId="30" fillId="3" borderId="3" xfId="0" applyFont="1" applyFill="1" applyBorder="1" applyAlignment="1" applyProtection="1">
      <alignment vertical="center" wrapText="1" shrinkToFit="1"/>
    </xf>
    <xf numFmtId="0" fontId="28" fillId="5" borderId="32" xfId="0" applyFont="1" applyFill="1" applyBorder="1" applyAlignment="1" applyProtection="1">
      <alignment vertical="center" shrinkToFit="1"/>
    </xf>
    <xf numFmtId="0" fontId="30" fillId="5" borderId="0" xfId="0" applyFont="1" applyFill="1" applyProtection="1">
      <alignment vertical="center"/>
    </xf>
    <xf numFmtId="184" fontId="29" fillId="5" borderId="32" xfId="1" applyNumberFormat="1" applyFont="1" applyFill="1" applyBorder="1" applyProtection="1">
      <alignment vertical="center"/>
      <protection hidden="1"/>
    </xf>
    <xf numFmtId="184" fontId="31" fillId="5" borderId="33" xfId="1" applyNumberFormat="1" applyFont="1" applyFill="1" applyBorder="1" applyProtection="1">
      <alignment vertical="center"/>
      <protection hidden="1"/>
    </xf>
    <xf numFmtId="184" fontId="31" fillId="5" borderId="0" xfId="1" applyNumberFormat="1" applyFont="1" applyFill="1" applyProtection="1">
      <alignment vertical="center"/>
      <protection hidden="1"/>
    </xf>
    <xf numFmtId="0" fontId="3" fillId="4" borderId="0" xfId="0" applyFont="1" applyFill="1" applyProtection="1">
      <alignment vertical="center"/>
    </xf>
    <xf numFmtId="0" fontId="41" fillId="4" borderId="0" xfId="0" applyFont="1" applyFill="1" applyProtection="1">
      <alignment vertical="center"/>
    </xf>
    <xf numFmtId="180" fontId="30" fillId="4" borderId="0" xfId="0" applyNumberFormat="1" applyFont="1" applyFill="1" applyProtection="1">
      <alignment vertical="center"/>
      <protection hidden="1"/>
    </xf>
    <xf numFmtId="0" fontId="30" fillId="4" borderId="0" xfId="0" applyFont="1" applyFill="1" applyProtection="1">
      <alignment vertical="center"/>
      <protection hidden="1"/>
    </xf>
    <xf numFmtId="0" fontId="5" fillId="4" borderId="0" xfId="0" applyFont="1" applyFill="1" applyAlignment="1" applyProtection="1">
      <alignment vertical="center" shrinkToFit="1"/>
    </xf>
    <xf numFmtId="0" fontId="30" fillId="4" borderId="0" xfId="0" applyFont="1" applyFill="1" applyAlignment="1" applyProtection="1">
      <alignment vertical="center" shrinkToFit="1"/>
    </xf>
    <xf numFmtId="0" fontId="49" fillId="0" borderId="27" xfId="0" applyFont="1" applyBorder="1" applyAlignment="1">
      <alignment horizontal="center" vertical="center" wrapText="1" shrinkToFit="1"/>
    </xf>
    <xf numFmtId="0" fontId="49" fillId="0" borderId="19" xfId="0" applyFont="1" applyBorder="1" applyAlignment="1">
      <alignment horizontal="center" vertical="center" wrapText="1" shrinkToFit="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6" fillId="0" borderId="27" xfId="0" applyFont="1" applyBorder="1" applyAlignment="1">
      <alignment horizontal="center" vertical="center" shrinkToFit="1"/>
    </xf>
    <xf numFmtId="0" fontId="46" fillId="0" borderId="19" xfId="0" applyFont="1" applyBorder="1" applyAlignment="1">
      <alignment horizontal="center" vertical="center" shrinkToFit="1"/>
    </xf>
    <xf numFmtId="0" fontId="46" fillId="0" borderId="27" xfId="0" applyFont="1" applyBorder="1" applyAlignment="1">
      <alignment horizontal="center" vertical="center" wrapText="1"/>
    </xf>
    <xf numFmtId="0" fontId="46" fillId="0" borderId="19"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distributed" vertical="center" justifyLastLine="1"/>
    </xf>
    <xf numFmtId="0" fontId="4" fillId="0" borderId="19" xfId="0" applyFont="1" applyBorder="1" applyAlignment="1">
      <alignment horizontal="distributed" vertical="center" justifyLastLine="1"/>
    </xf>
    <xf numFmtId="38" fontId="4" fillId="0" borderId="16" xfId="1" applyFont="1" applyBorder="1" applyAlignment="1">
      <alignment vertical="center" justifyLastLine="1"/>
    </xf>
    <xf numFmtId="38" fontId="4" fillId="0" borderId="17" xfId="1" applyFont="1" applyBorder="1" applyAlignment="1">
      <alignment vertical="center" justifyLastLine="1"/>
    </xf>
    <xf numFmtId="0" fontId="4" fillId="0" borderId="15" xfId="0" applyFont="1" applyBorder="1" applyAlignment="1">
      <alignment horizontal="distributed" vertical="center" justifyLastLine="1"/>
    </xf>
    <xf numFmtId="0" fontId="4" fillId="0" borderId="28"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8" xfId="0" applyFont="1" applyBorder="1" applyAlignment="1">
      <alignment horizontal="distributed" vertical="center" justifyLastLine="1"/>
    </xf>
    <xf numFmtId="38" fontId="4" fillId="0" borderId="15" xfId="1" applyFont="1" applyBorder="1" applyAlignment="1">
      <alignment horizontal="center" vertical="center"/>
    </xf>
    <xf numFmtId="38" fontId="4" fillId="0" borderId="24" xfId="1" applyFont="1" applyBorder="1" applyAlignment="1">
      <alignment horizontal="distributed" vertical="center" justifyLastLine="1"/>
    </xf>
    <xf numFmtId="38" fontId="4" fillId="0" borderId="25" xfId="1" applyFont="1" applyBorder="1" applyAlignment="1">
      <alignment horizontal="distributed" vertical="center" justifyLastLine="1"/>
    </xf>
    <xf numFmtId="38" fontId="4" fillId="0" borderId="23" xfId="1" applyFont="1" applyBorder="1" applyAlignment="1">
      <alignment horizontal="distributed" vertical="center" justifyLastLine="1"/>
    </xf>
    <xf numFmtId="38" fontId="4" fillId="0" borderId="16" xfId="0" applyNumberFormat="1" applyFont="1" applyBorder="1" applyAlignment="1">
      <alignment horizontal="distributed" vertical="center" justifyLastLine="1"/>
    </xf>
    <xf numFmtId="38" fontId="4" fillId="0" borderId="17" xfId="0" applyNumberFormat="1" applyFont="1" applyBorder="1" applyAlignment="1">
      <alignment horizontal="distributed" vertical="center" justifyLastLine="1"/>
    </xf>
    <xf numFmtId="38" fontId="4" fillId="0" borderId="18" xfId="0" applyNumberFormat="1" applyFont="1" applyBorder="1" applyAlignment="1">
      <alignment horizontal="distributed" vertical="center" justifyLastLine="1"/>
    </xf>
    <xf numFmtId="38" fontId="4" fillId="0" borderId="27" xfId="0" applyNumberFormat="1" applyFont="1" applyBorder="1" applyAlignment="1">
      <alignment horizontal="distributed" vertical="center" justifyLastLine="1"/>
    </xf>
    <xf numFmtId="38" fontId="4" fillId="0" borderId="19" xfId="0" applyNumberFormat="1" applyFont="1" applyBorder="1" applyAlignment="1">
      <alignment horizontal="distributed" vertical="center" justifyLastLine="1"/>
    </xf>
    <xf numFmtId="0" fontId="4" fillId="0" borderId="27" xfId="0" applyFont="1" applyBorder="1" applyAlignment="1">
      <alignment horizontal="distributed" vertical="center" wrapText="1" justifyLastLine="1"/>
    </xf>
    <xf numFmtId="0" fontId="4" fillId="0" borderId="28" xfId="0" applyFont="1" applyBorder="1" applyAlignment="1">
      <alignment horizontal="distributed" vertical="center" wrapText="1" justifyLastLine="1"/>
    </xf>
    <xf numFmtId="0" fontId="4" fillId="0" borderId="19" xfId="0" applyFont="1" applyBorder="1" applyAlignment="1">
      <alignment horizontal="distributed" vertical="center" wrapText="1" justifyLastLine="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9" xfId="0" applyFont="1" applyBorder="1" applyAlignment="1">
      <alignment horizontal="center" vertical="center" wrapText="1"/>
    </xf>
    <xf numFmtId="38" fontId="3" fillId="0" borderId="43" xfId="1" applyNumberFormat="1" applyFont="1" applyBorder="1" applyAlignment="1">
      <alignment horizontal="center" vertical="center"/>
    </xf>
    <xf numFmtId="38" fontId="3" fillId="0" borderId="44" xfId="1" applyNumberFormat="1" applyFont="1" applyBorder="1" applyAlignment="1">
      <alignment horizontal="center" vertical="center"/>
    </xf>
    <xf numFmtId="38" fontId="17" fillId="0" borderId="32" xfId="1" applyFont="1" applyBorder="1" applyAlignment="1">
      <alignment horizontal="center" vertical="center"/>
    </xf>
    <xf numFmtId="38" fontId="16" fillId="0" borderId="32"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color rgb="FF0066FF"/>
      <color rgb="FF0000CC"/>
      <color rgb="FFCCFFCC"/>
      <color rgb="FFFFFF66"/>
      <color rgb="FFCCFF66"/>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57150</xdr:colOff>
      <xdr:row>13</xdr:row>
      <xdr:rowOff>19050</xdr:rowOff>
    </xdr:from>
    <xdr:to>
      <xdr:col>21</xdr:col>
      <xdr:colOff>142875</xdr:colOff>
      <xdr:row>19</xdr:row>
      <xdr:rowOff>9525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14154150" y="3143250"/>
          <a:ext cx="85725" cy="1590675"/>
        </a:xfrm>
        <a:prstGeom prst="righ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W62"/>
  <sheetViews>
    <sheetView tabSelected="1" view="pageBreakPreview" zoomScale="126" zoomScaleNormal="100" zoomScaleSheetLayoutView="126" workbookViewId="0">
      <selection activeCell="H5" sqref="H5"/>
    </sheetView>
  </sheetViews>
  <sheetFormatPr defaultColWidth="9" defaultRowHeight="18.75" customHeight="1"/>
  <cols>
    <col min="1" max="1" width="1.88671875" style="132" customWidth="1"/>
    <col min="2" max="2" width="1.6640625" style="132" customWidth="1"/>
    <col min="3" max="3" width="5.6640625" style="133" customWidth="1"/>
    <col min="4" max="4" width="12.6640625" style="132" customWidth="1"/>
    <col min="5" max="7" width="10.6640625" style="132" customWidth="1"/>
    <col min="8" max="8" width="25.44140625" style="132" customWidth="1"/>
    <col min="9" max="9" width="8.6640625" style="132" customWidth="1"/>
    <col min="10" max="10" width="6.6640625" style="132" customWidth="1"/>
    <col min="11" max="11" width="20.6640625" style="132" customWidth="1"/>
    <col min="12" max="12" width="1.6640625" style="132" customWidth="1"/>
    <col min="13" max="31" width="6.6640625" style="132" customWidth="1"/>
    <col min="32" max="49" width="10.6640625" style="132" customWidth="1"/>
    <col min="50" max="16384" width="9" style="132"/>
  </cols>
  <sheetData>
    <row r="1" spans="2:15" ht="11.25" customHeight="1"/>
    <row r="2" spans="2:15" ht="6" customHeight="1">
      <c r="B2" s="134"/>
      <c r="C2" s="134"/>
      <c r="D2" s="134"/>
      <c r="E2" s="134"/>
      <c r="F2" s="134"/>
      <c r="G2" s="134"/>
      <c r="H2" s="134"/>
      <c r="I2" s="134"/>
      <c r="J2" s="134"/>
      <c r="K2" s="134"/>
      <c r="L2" s="134"/>
    </row>
    <row r="3" spans="2:15" ht="18.75" customHeight="1">
      <c r="B3" s="135"/>
      <c r="C3" s="131" t="s">
        <v>200</v>
      </c>
      <c r="D3" s="131"/>
      <c r="E3" s="131"/>
      <c r="F3" s="131"/>
      <c r="G3" s="131"/>
      <c r="H3" s="136"/>
      <c r="I3" s="249" t="s">
        <v>135</v>
      </c>
      <c r="J3" s="249"/>
      <c r="K3" s="249"/>
      <c r="L3" s="134"/>
    </row>
    <row r="4" spans="2:15" ht="18.75" customHeight="1">
      <c r="B4" s="135"/>
      <c r="C4" s="137"/>
      <c r="D4" s="138"/>
      <c r="E4" s="138"/>
      <c r="F4" s="138"/>
      <c r="G4" s="138"/>
      <c r="H4" s="138"/>
      <c r="I4" s="249"/>
      <c r="J4" s="249"/>
      <c r="K4" s="249"/>
      <c r="L4" s="134"/>
    </row>
    <row r="5" spans="2:15" ht="18.75" customHeight="1" thickBot="1">
      <c r="B5" s="135"/>
      <c r="C5" s="137"/>
      <c r="D5" s="256" t="s">
        <v>205</v>
      </c>
      <c r="E5" s="256"/>
      <c r="F5" s="258">
        <f>IF(計算根拠!N4=0,0,IF(OR(計算根拠!N4=2,計算根拠!N4=5,計算根拠!N4=7),計算根拠!R16,計算根拠!H17))</f>
        <v>199600</v>
      </c>
      <c r="G5" s="258"/>
      <c r="H5" s="240"/>
      <c r="I5" s="139" t="s">
        <v>56</v>
      </c>
      <c r="J5" s="139"/>
      <c r="K5" s="139"/>
      <c r="L5" s="134"/>
      <c r="O5" s="140"/>
    </row>
    <row r="6" spans="2:15" ht="18.75" customHeight="1">
      <c r="B6" s="135"/>
      <c r="C6" s="137"/>
      <c r="D6" s="257" t="s">
        <v>173</v>
      </c>
      <c r="E6" s="257"/>
      <c r="F6" s="259">
        <f>IF(計算根拠!N4=0,0,IF(OR(計算根拠!N4=2,計算根拠!N4=5,計算根拠!N4=7),計算根拠!N16,計算根拠!D17))</f>
        <v>141600</v>
      </c>
      <c r="G6" s="259"/>
      <c r="H6" s="138"/>
      <c r="I6" s="171" t="str">
        <f>"・国民健康保険に "&amp;DBCS(計算根拠!J4)&amp;"名 加入"</f>
        <v>・国民健康保険に ２名 加入</v>
      </c>
      <c r="J6" s="139"/>
      <c r="K6" s="139"/>
      <c r="L6" s="134"/>
    </row>
    <row r="7" spans="2:15" ht="18.75" customHeight="1">
      <c r="B7" s="135"/>
      <c r="C7" s="137"/>
      <c r="D7" s="257" t="s">
        <v>174</v>
      </c>
      <c r="E7" s="257"/>
      <c r="F7" s="260">
        <f>IF(計算根拠!N4=0,0,IF(OR(計算根拠!N4=2,計算根拠!N4=5,計算根拠!N4=7),計算根拠!O16,計算根拠!E17))</f>
        <v>52800</v>
      </c>
      <c r="G7" s="260"/>
      <c r="H7" s="138"/>
      <c r="I7" s="171" t="str">
        <f>IF(OR(計算根拠!N4=2,計算根拠!N4=5,計算根拠!N4=7),"・"&amp;DBCS(計算根拠!N4)&amp;"割軽減に該当","")</f>
        <v/>
      </c>
      <c r="J7" s="139"/>
      <c r="K7" s="139"/>
      <c r="L7" s="134"/>
    </row>
    <row r="8" spans="2:15" ht="18.75" customHeight="1">
      <c r="B8" s="135"/>
      <c r="C8" s="137"/>
      <c r="D8" s="257" t="s">
        <v>175</v>
      </c>
      <c r="E8" s="257"/>
      <c r="F8" s="260">
        <f>IF(OR(計算根拠!N4=2,計算根拠!N4=5,計算根拠!N4=7),計算根拠!P16,計算根拠!F17)</f>
        <v>0</v>
      </c>
      <c r="G8" s="260"/>
      <c r="H8" s="138"/>
      <c r="I8" s="171" t="str">
        <f>IF(計算根拠!E40=0,"","・"&amp;計算根拠!I10&amp;"世帯軽減に該当")</f>
        <v/>
      </c>
      <c r="J8" s="139"/>
      <c r="K8" s="139"/>
      <c r="L8" s="134"/>
    </row>
    <row r="9" spans="2:15" ht="18.75" customHeight="1">
      <c r="B9" s="135"/>
      <c r="C9" s="137"/>
      <c r="D9" s="257" t="s">
        <v>198</v>
      </c>
      <c r="E9" s="257"/>
      <c r="F9" s="260">
        <f>IF(計算根拠!N4=0,0,IF(OR(計算根拠!N4=2,計算根拠!N4=5,計算根拠!N4=7),計算根拠!Q16,計算根拠!G17))</f>
        <v>5200</v>
      </c>
      <c r="G9" s="260"/>
      <c r="H9" s="138"/>
      <c r="I9" s="171"/>
      <c r="J9" s="139"/>
      <c r="K9" s="139"/>
      <c r="L9" s="134"/>
    </row>
    <row r="10" spans="2:15" ht="15" customHeight="1">
      <c r="B10" s="135"/>
      <c r="C10" s="137"/>
      <c r="D10" s="138"/>
      <c r="E10" s="138"/>
      <c r="F10" s="138"/>
      <c r="G10" s="138"/>
      <c r="H10" s="138"/>
      <c r="I10" s="138"/>
      <c r="J10" s="138"/>
      <c r="K10" s="138"/>
      <c r="L10" s="141"/>
    </row>
    <row r="11" spans="2:15" ht="18.75" customHeight="1">
      <c r="B11" s="135"/>
      <c r="C11" s="137"/>
      <c r="D11" s="142"/>
      <c r="E11" s="143" t="s">
        <v>57</v>
      </c>
      <c r="F11" s="252" t="s">
        <v>58</v>
      </c>
      <c r="G11" s="252"/>
      <c r="H11" s="138"/>
      <c r="I11" s="138"/>
      <c r="J11" s="138"/>
      <c r="K11" s="138"/>
      <c r="L11" s="141"/>
    </row>
    <row r="12" spans="2:15" ht="18.75" customHeight="1">
      <c r="B12" s="135"/>
      <c r="C12" s="137"/>
      <c r="D12" s="143" t="s">
        <v>59</v>
      </c>
      <c r="E12" s="172">
        <f>F5-F12*9</f>
        <v>20500</v>
      </c>
      <c r="F12" s="245">
        <f>ROUNDDOWN(F5/10,-2)</f>
        <v>19900</v>
      </c>
      <c r="G12" s="245"/>
      <c r="H12" s="138"/>
      <c r="I12" s="138"/>
      <c r="J12" s="138"/>
      <c r="K12" s="138"/>
      <c r="L12" s="141"/>
    </row>
    <row r="13" spans="2:15" ht="17.25" customHeight="1">
      <c r="B13" s="135"/>
      <c r="C13" s="137"/>
      <c r="D13" s="246" t="s">
        <v>172</v>
      </c>
      <c r="E13" s="246"/>
      <c r="F13" s="246"/>
      <c r="G13" s="246"/>
      <c r="H13" s="246"/>
      <c r="I13" s="246"/>
      <c r="J13" s="246"/>
      <c r="K13" s="246"/>
      <c r="L13" s="141"/>
    </row>
    <row r="14" spans="2:15" ht="17.25" customHeight="1">
      <c r="B14" s="135"/>
      <c r="C14" s="137"/>
      <c r="D14" s="246" t="s">
        <v>203</v>
      </c>
      <c r="E14" s="246"/>
      <c r="F14" s="246"/>
      <c r="G14" s="246"/>
      <c r="H14" s="246"/>
      <c r="I14" s="246"/>
      <c r="J14" s="246"/>
      <c r="K14" s="246"/>
      <c r="L14" s="141"/>
    </row>
    <row r="15" spans="2:15" ht="17.25" customHeight="1">
      <c r="B15" s="135"/>
      <c r="C15" s="137"/>
      <c r="D15" s="247" t="str">
        <f>"　 第２期目以降は100円単位で賦課するため、端数 "&amp;ROUNDDOWN(F5/10,0)-ROUNDDOWN(F5/10,-2)&amp;"円×9期分は第１期にまとめて賦課します。"</f>
        <v>　 第２期目以降は100円単位で賦課するため、端数 60円×9期分は第１期にまとめて賦課します。</v>
      </c>
      <c r="E15" s="247"/>
      <c r="F15" s="247"/>
      <c r="G15" s="247"/>
      <c r="H15" s="247"/>
      <c r="I15" s="247"/>
      <c r="J15" s="247"/>
      <c r="K15" s="247"/>
      <c r="L15" s="141"/>
    </row>
    <row r="16" spans="2:15" ht="17.25" customHeight="1">
      <c r="B16" s="135"/>
      <c r="C16" s="137"/>
      <c r="D16" s="248" t="s">
        <v>201</v>
      </c>
      <c r="E16" s="248"/>
      <c r="F16" s="248"/>
      <c r="G16" s="248"/>
      <c r="H16" s="248"/>
      <c r="I16" s="248"/>
      <c r="J16" s="248"/>
      <c r="K16" s="248"/>
      <c r="L16" s="144"/>
    </row>
    <row r="17" spans="2:29" ht="17.25" customHeight="1">
      <c r="B17" s="135"/>
      <c r="C17" s="137"/>
      <c r="D17" s="253" t="s">
        <v>204</v>
      </c>
      <c r="E17" s="253"/>
      <c r="F17" s="253"/>
      <c r="G17" s="253"/>
      <c r="H17" s="253"/>
      <c r="I17" s="253"/>
      <c r="J17" s="253"/>
      <c r="K17" s="253"/>
      <c r="L17" s="145"/>
    </row>
    <row r="18" spans="2:29" ht="17.25" customHeight="1">
      <c r="B18" s="135"/>
      <c r="C18" s="137"/>
      <c r="D18" s="248" t="s">
        <v>89</v>
      </c>
      <c r="E18" s="248"/>
      <c r="F18" s="248"/>
      <c r="G18" s="248"/>
      <c r="H18" s="248"/>
      <c r="I18" s="248"/>
      <c r="J18" s="248"/>
      <c r="K18" s="248"/>
      <c r="L18" s="145"/>
    </row>
    <row r="19" spans="2:29" ht="17.25" customHeight="1">
      <c r="B19" s="135"/>
      <c r="C19" s="137"/>
      <c r="D19" s="248" t="s">
        <v>170</v>
      </c>
      <c r="E19" s="248"/>
      <c r="F19" s="248"/>
      <c r="G19" s="248"/>
      <c r="H19" s="248"/>
      <c r="I19" s="248"/>
      <c r="J19" s="248"/>
      <c r="K19" s="248"/>
      <c r="L19" s="145"/>
    </row>
    <row r="20" spans="2:29" ht="17.25" customHeight="1">
      <c r="B20" s="135"/>
      <c r="C20" s="137"/>
      <c r="D20" s="248" t="s">
        <v>90</v>
      </c>
      <c r="E20" s="248"/>
      <c r="F20" s="248"/>
      <c r="G20" s="248"/>
      <c r="H20" s="248"/>
      <c r="I20" s="248"/>
      <c r="J20" s="248"/>
      <c r="K20" s="248"/>
      <c r="L20" s="145"/>
    </row>
    <row r="21" spans="2:29" ht="17.25" customHeight="1">
      <c r="B21" s="135"/>
      <c r="C21" s="137"/>
      <c r="D21" s="248" t="s">
        <v>91</v>
      </c>
      <c r="E21" s="248"/>
      <c r="F21" s="248"/>
      <c r="G21" s="248"/>
      <c r="H21" s="248"/>
      <c r="I21" s="248"/>
      <c r="J21" s="248"/>
      <c r="K21" s="248"/>
      <c r="L21" s="145"/>
    </row>
    <row r="22" spans="2:29" ht="7.5" customHeight="1" thickBot="1">
      <c r="B22" s="135"/>
      <c r="C22" s="146"/>
      <c r="D22" s="147"/>
      <c r="E22" s="147"/>
      <c r="F22" s="147"/>
      <c r="G22" s="147"/>
      <c r="H22" s="147"/>
      <c r="I22" s="147"/>
      <c r="J22" s="147"/>
      <c r="K22" s="147"/>
      <c r="L22" s="145"/>
    </row>
    <row r="23" spans="2:29" ht="7.5" customHeight="1">
      <c r="B23" s="135"/>
      <c r="C23" s="137"/>
      <c r="D23" s="138"/>
      <c r="E23" s="138"/>
      <c r="F23" s="138"/>
      <c r="G23" s="138"/>
      <c r="H23" s="138"/>
      <c r="I23" s="138"/>
      <c r="J23" s="138"/>
      <c r="K23" s="138"/>
      <c r="L23" s="145"/>
    </row>
    <row r="24" spans="2:29" ht="18.75" customHeight="1" thickBot="1">
      <c r="B24" s="135"/>
      <c r="C24" s="148" t="s">
        <v>60</v>
      </c>
      <c r="D24" s="138"/>
      <c r="E24" s="138"/>
      <c r="F24" s="138" t="s">
        <v>61</v>
      </c>
      <c r="G24" s="138"/>
      <c r="H24" s="138"/>
      <c r="I24" s="138"/>
      <c r="J24" s="138"/>
      <c r="K24" s="138"/>
      <c r="L24" s="145"/>
      <c r="M24" s="149"/>
      <c r="N24" s="149"/>
      <c r="O24" s="149"/>
      <c r="P24" s="149"/>
      <c r="Q24" s="149"/>
      <c r="R24" s="149"/>
      <c r="S24" s="149"/>
      <c r="T24" s="149"/>
      <c r="U24" s="149"/>
      <c r="V24" s="149"/>
      <c r="W24" s="149"/>
      <c r="X24" s="149"/>
      <c r="Y24" s="149"/>
      <c r="Z24" s="149"/>
      <c r="AA24" s="149"/>
      <c r="AB24" s="149"/>
      <c r="AC24" s="149"/>
    </row>
    <row r="25" spans="2:29" ht="22.5" customHeight="1">
      <c r="B25" s="135"/>
      <c r="C25" s="241" t="s">
        <v>1</v>
      </c>
      <c r="D25" s="150" t="s">
        <v>83</v>
      </c>
      <c r="E25" s="150" t="s">
        <v>84</v>
      </c>
      <c r="F25" s="150" t="s">
        <v>85</v>
      </c>
      <c r="G25" s="150" t="s">
        <v>3</v>
      </c>
      <c r="H25" s="254" t="s">
        <v>112</v>
      </c>
      <c r="I25" s="243" t="s">
        <v>86</v>
      </c>
      <c r="J25" s="243"/>
      <c r="K25" s="244"/>
      <c r="L25" s="145"/>
      <c r="M25" s="149"/>
      <c r="N25" s="149"/>
      <c r="O25" s="149"/>
      <c r="P25" s="149"/>
      <c r="Q25" s="149"/>
      <c r="R25" s="149"/>
      <c r="S25" s="149"/>
      <c r="T25" s="149"/>
      <c r="U25" s="149"/>
      <c r="V25" s="149"/>
      <c r="W25" s="149"/>
      <c r="X25" s="149"/>
      <c r="Y25" s="149"/>
      <c r="Z25" s="149"/>
      <c r="AA25" s="149"/>
      <c r="AB25" s="149"/>
      <c r="AC25" s="149"/>
    </row>
    <row r="26" spans="2:29" ht="48.75" customHeight="1" thickBot="1">
      <c r="B26" s="135"/>
      <c r="C26" s="242"/>
      <c r="D26" s="151" t="s">
        <v>92</v>
      </c>
      <c r="E26" s="151" t="s">
        <v>93</v>
      </c>
      <c r="F26" s="151" t="s">
        <v>94</v>
      </c>
      <c r="G26" s="151" t="s">
        <v>95</v>
      </c>
      <c r="H26" s="255"/>
      <c r="I26" s="152" t="s">
        <v>87</v>
      </c>
      <c r="J26" s="153" t="s">
        <v>4</v>
      </c>
      <c r="K26" s="154" t="s">
        <v>88</v>
      </c>
      <c r="L26" s="145"/>
      <c r="M26" s="149"/>
      <c r="N26" s="149"/>
      <c r="O26" s="149"/>
      <c r="P26" s="149"/>
      <c r="Q26" s="149"/>
      <c r="R26" s="149"/>
      <c r="S26" s="149"/>
      <c r="T26" s="149"/>
      <c r="U26" s="149"/>
      <c r="V26" s="149"/>
      <c r="W26" s="149"/>
      <c r="X26" s="149"/>
      <c r="Y26" s="149"/>
      <c r="Z26" s="149"/>
      <c r="AA26" s="149"/>
      <c r="AB26" s="149"/>
      <c r="AC26" s="149"/>
    </row>
    <row r="27" spans="2:29" ht="22.5" customHeight="1">
      <c r="B27" s="135"/>
      <c r="C27" s="155" t="s">
        <v>2</v>
      </c>
      <c r="D27" s="119" t="s">
        <v>210</v>
      </c>
      <c r="E27" s="120">
        <v>0</v>
      </c>
      <c r="F27" s="120">
        <v>515063</v>
      </c>
      <c r="G27" s="120">
        <v>1234954</v>
      </c>
      <c r="H27" s="120" t="s">
        <v>165</v>
      </c>
      <c r="I27" s="121"/>
      <c r="J27" s="122"/>
      <c r="K27" s="173" t="str">
        <f>IF(計算根拠!F22="","",IF(MONTH(計算根拠!F22)&gt;=4,TEXT(計算根拠!F22,"ggge")&amp;"年度,"&amp;TEXT(計算根拠!F22+365,"ggge")&amp;"年度適用",TEXT(計算根拠!F22-365,"ggge")&amp;"年度,"&amp;TEXT(計算根拠!F22,"ggge")&amp;"年度適用"))</f>
        <v/>
      </c>
      <c r="L27" s="145"/>
      <c r="M27" s="149"/>
      <c r="N27" s="149"/>
      <c r="O27" s="149"/>
      <c r="P27" s="149"/>
      <c r="Q27" s="149"/>
      <c r="R27" s="149"/>
      <c r="S27" s="149"/>
      <c r="T27" s="149"/>
      <c r="U27" s="149"/>
      <c r="V27" s="149"/>
      <c r="W27" s="149"/>
      <c r="X27" s="149"/>
      <c r="Y27" s="149"/>
      <c r="Z27" s="149"/>
      <c r="AA27" s="149"/>
      <c r="AB27" s="149"/>
      <c r="AC27" s="149"/>
    </row>
    <row r="28" spans="2:29" ht="22.5" customHeight="1">
      <c r="B28" s="135"/>
      <c r="C28" s="156">
        <v>2</v>
      </c>
      <c r="D28" s="123" t="s">
        <v>209</v>
      </c>
      <c r="E28" s="124">
        <v>1950000</v>
      </c>
      <c r="F28" s="124"/>
      <c r="G28" s="124"/>
      <c r="H28" s="124"/>
      <c r="I28" s="125"/>
      <c r="J28" s="126"/>
      <c r="K28" s="173" t="str">
        <f>IF(計算根拠!F23="","",IF(MONTH(計算根拠!F23)&gt;=4,TEXT(計算根拠!F23,"ggge")&amp;"年度,"&amp;TEXT(計算根拠!F23+365,"ggge")&amp;"年度適用",TEXT(計算根拠!F23-365,"ggge")&amp;"年度,"&amp;TEXT(計算根拠!F23,"ggge")&amp;"年度適用"))</f>
        <v/>
      </c>
      <c r="L28" s="145"/>
      <c r="M28" s="149"/>
      <c r="N28" s="149"/>
      <c r="O28" s="149"/>
      <c r="P28" s="149"/>
      <c r="Q28" s="149"/>
      <c r="R28" s="149"/>
      <c r="S28" s="149"/>
      <c r="T28" s="149"/>
      <c r="U28" s="149"/>
      <c r="V28" s="149"/>
      <c r="W28" s="149"/>
      <c r="X28" s="149"/>
      <c r="Y28" s="149"/>
      <c r="Z28" s="149"/>
      <c r="AA28" s="149"/>
      <c r="AB28" s="149"/>
      <c r="AC28" s="149"/>
    </row>
    <row r="29" spans="2:29" ht="22.5" customHeight="1">
      <c r="B29" s="135"/>
      <c r="C29" s="156">
        <v>3</v>
      </c>
      <c r="D29" s="123" t="s">
        <v>208</v>
      </c>
      <c r="E29" s="124"/>
      <c r="F29" s="124">
        <v>202226</v>
      </c>
      <c r="G29" s="124"/>
      <c r="H29" s="124"/>
      <c r="I29" s="125"/>
      <c r="J29" s="126"/>
      <c r="K29" s="173" t="str">
        <f>IF(計算根拠!F24="","",IF(MONTH(計算根拠!F24)&gt;=4,TEXT(計算根拠!F24,"ggge")&amp;"年度,"&amp;TEXT(計算根拠!F24+365,"ggge")&amp;"年度適用",TEXT(計算根拠!F24-365,"ggge")&amp;"年度,"&amp;TEXT(計算根拠!F24,"ggge")&amp;"年度適用"))</f>
        <v/>
      </c>
      <c r="L29" s="145"/>
      <c r="M29" s="149"/>
      <c r="N29" s="149"/>
      <c r="O29" s="149"/>
      <c r="P29" s="149"/>
      <c r="Q29" s="149"/>
      <c r="R29" s="149"/>
      <c r="S29" s="149"/>
      <c r="T29" s="149"/>
      <c r="U29" s="149"/>
      <c r="V29" s="149"/>
      <c r="W29" s="149"/>
      <c r="X29" s="149"/>
      <c r="Y29" s="149"/>
      <c r="Z29" s="149"/>
      <c r="AA29" s="149"/>
      <c r="AB29" s="149"/>
      <c r="AC29" s="149"/>
    </row>
    <row r="30" spans="2:29" ht="22.5" customHeight="1">
      <c r="B30" s="135"/>
      <c r="C30" s="156">
        <v>4</v>
      </c>
      <c r="D30" s="123"/>
      <c r="E30" s="124"/>
      <c r="F30" s="124"/>
      <c r="G30" s="124"/>
      <c r="H30" s="124"/>
      <c r="I30" s="125"/>
      <c r="J30" s="126"/>
      <c r="K30" s="173" t="str">
        <f>IF(計算根拠!F25="","",IF(MONTH(計算根拠!F25)&gt;=4,TEXT(計算根拠!F25,"ggge")&amp;"年度,"&amp;TEXT(計算根拠!F25+365,"ggge")&amp;"年度適用",TEXT(計算根拠!F25-365,"ggge")&amp;"年度,"&amp;TEXT(計算根拠!F25,"ggge")&amp;"年度適用"))</f>
        <v/>
      </c>
      <c r="L30" s="145"/>
      <c r="M30" s="149"/>
      <c r="N30" s="149"/>
      <c r="O30" s="149"/>
      <c r="P30" s="149"/>
      <c r="Q30" s="149"/>
      <c r="R30" s="149"/>
      <c r="S30" s="149"/>
      <c r="T30" s="149"/>
      <c r="U30" s="149"/>
      <c r="V30" s="149"/>
      <c r="W30" s="149"/>
      <c r="X30" s="149"/>
      <c r="Y30" s="149"/>
      <c r="Z30" s="149"/>
      <c r="AA30" s="149"/>
      <c r="AB30" s="149"/>
      <c r="AC30" s="149"/>
    </row>
    <row r="31" spans="2:29" ht="22.5" customHeight="1">
      <c r="B31" s="135"/>
      <c r="C31" s="156">
        <v>5</v>
      </c>
      <c r="D31" s="123"/>
      <c r="E31" s="124"/>
      <c r="F31" s="124"/>
      <c r="G31" s="124"/>
      <c r="H31" s="124"/>
      <c r="I31" s="125"/>
      <c r="J31" s="126"/>
      <c r="K31" s="173" t="str">
        <f>IF(計算根拠!F26="","",IF(MONTH(計算根拠!F26)&gt;=4,TEXT(計算根拠!F26,"ggge")&amp;"年度,"&amp;TEXT(計算根拠!F26+365,"ggge")&amp;"年度適用",TEXT(計算根拠!F26-365,"ggge")&amp;"年度,"&amp;TEXT(計算根拠!F26,"ggge")&amp;"年度適用"))</f>
        <v/>
      </c>
      <c r="L31" s="145"/>
      <c r="M31" s="149"/>
      <c r="N31" s="149"/>
      <c r="O31" s="149"/>
      <c r="P31" s="149"/>
      <c r="Q31" s="149"/>
      <c r="R31" s="149"/>
      <c r="S31" s="149"/>
      <c r="T31" s="149"/>
      <c r="U31" s="149"/>
      <c r="V31" s="149"/>
      <c r="W31" s="149"/>
      <c r="X31" s="149"/>
      <c r="Y31" s="149"/>
      <c r="Z31" s="149"/>
      <c r="AA31" s="149"/>
      <c r="AB31" s="149"/>
      <c r="AC31" s="149"/>
    </row>
    <row r="32" spans="2:29" ht="22.5" customHeight="1">
      <c r="B32" s="135"/>
      <c r="C32" s="156">
        <v>6</v>
      </c>
      <c r="D32" s="123"/>
      <c r="E32" s="124"/>
      <c r="F32" s="124"/>
      <c r="G32" s="124"/>
      <c r="H32" s="124"/>
      <c r="I32" s="125"/>
      <c r="J32" s="126"/>
      <c r="K32" s="173" t="str">
        <f>IF(計算根拠!F27="","",IF(MONTH(計算根拠!F27)&gt;=4,TEXT(計算根拠!F27,"ggge")&amp;"年度,"&amp;TEXT(計算根拠!F27+365,"ggge")&amp;"年度適用",TEXT(計算根拠!F27-365,"ggge")&amp;"年度,"&amp;TEXT(計算根拠!F27,"ggge")&amp;"年度適用"))</f>
        <v/>
      </c>
      <c r="L32" s="145"/>
      <c r="M32" s="149"/>
      <c r="N32" s="149"/>
      <c r="O32" s="149"/>
      <c r="P32" s="149"/>
      <c r="Q32" s="149"/>
      <c r="R32" s="149"/>
      <c r="S32" s="149"/>
      <c r="T32" s="149"/>
      <c r="U32" s="149"/>
      <c r="V32" s="149"/>
      <c r="W32" s="149"/>
      <c r="X32" s="149"/>
      <c r="Y32" s="149"/>
      <c r="Z32" s="149"/>
      <c r="AA32" s="149"/>
      <c r="AB32" s="149"/>
      <c r="AC32" s="149"/>
    </row>
    <row r="33" spans="2:29" ht="22.5" customHeight="1">
      <c r="B33" s="135"/>
      <c r="C33" s="156">
        <v>7</v>
      </c>
      <c r="D33" s="123"/>
      <c r="E33" s="124"/>
      <c r="F33" s="124"/>
      <c r="G33" s="124"/>
      <c r="H33" s="124"/>
      <c r="I33" s="125"/>
      <c r="J33" s="126"/>
      <c r="K33" s="173" t="str">
        <f>IF(計算根拠!F28="","",IF(MONTH(計算根拠!F28)&gt;=4,TEXT(計算根拠!F28,"ggge")&amp;"年度,"&amp;TEXT(計算根拠!F28+365,"ggge")&amp;"年度適用",TEXT(計算根拠!F28-365,"ggge")&amp;"年度,"&amp;TEXT(計算根拠!F28,"ggge")&amp;"年度適用"))</f>
        <v/>
      </c>
      <c r="L33" s="145"/>
      <c r="M33" s="149"/>
      <c r="N33" s="149"/>
      <c r="O33" s="149"/>
      <c r="P33" s="149"/>
      <c r="Q33" s="149"/>
      <c r="R33" s="149"/>
      <c r="S33" s="149"/>
      <c r="T33" s="149"/>
      <c r="U33" s="149"/>
      <c r="V33" s="149"/>
      <c r="W33" s="149"/>
      <c r="X33" s="149"/>
      <c r="Y33" s="149"/>
      <c r="Z33" s="149"/>
      <c r="AA33" s="149"/>
      <c r="AB33" s="149"/>
      <c r="AC33" s="149"/>
    </row>
    <row r="34" spans="2:29" ht="22.5" customHeight="1" thickBot="1">
      <c r="B34" s="135"/>
      <c r="C34" s="157">
        <v>8</v>
      </c>
      <c r="D34" s="127"/>
      <c r="E34" s="128"/>
      <c r="F34" s="128"/>
      <c r="G34" s="128"/>
      <c r="H34" s="128"/>
      <c r="I34" s="129"/>
      <c r="J34" s="130"/>
      <c r="K34" s="174" t="str">
        <f>IF(計算根拠!F29="","",IF(MONTH(計算根拠!F29)&gt;=4,TEXT(計算根拠!F29,"ggge")&amp;"年度,"&amp;TEXT(計算根拠!F29+365,"ggge")&amp;"年度適用",TEXT(計算根拠!F29-365,"ggge")&amp;"年度,"&amp;TEXT(計算根拠!F29,"ggge")&amp;"年度適用"))</f>
        <v/>
      </c>
      <c r="L34" s="145"/>
      <c r="M34" s="149"/>
      <c r="N34" s="149"/>
      <c r="O34" s="149"/>
      <c r="P34" s="149"/>
      <c r="Q34" s="149"/>
      <c r="R34" s="149"/>
      <c r="S34" s="149"/>
      <c r="T34" s="149"/>
      <c r="U34" s="149"/>
      <c r="V34" s="149"/>
      <c r="W34" s="149"/>
      <c r="X34" s="149"/>
      <c r="Y34" s="149"/>
      <c r="Z34" s="149"/>
      <c r="AA34" s="149"/>
      <c r="AB34" s="149"/>
      <c r="AC34" s="149"/>
    </row>
    <row r="35" spans="2:29" ht="7.5" customHeight="1">
      <c r="B35" s="135"/>
      <c r="C35" s="158"/>
      <c r="D35" s="159"/>
      <c r="E35" s="160"/>
      <c r="F35" s="160"/>
      <c r="G35" s="160"/>
      <c r="H35" s="160"/>
      <c r="I35" s="161"/>
      <c r="J35" s="158"/>
      <c r="K35" s="158"/>
      <c r="L35" s="145"/>
      <c r="M35" s="149"/>
      <c r="N35" s="149"/>
      <c r="O35" s="149"/>
      <c r="P35" s="149"/>
      <c r="Q35" s="149"/>
      <c r="R35" s="149"/>
      <c r="S35" s="149"/>
      <c r="T35" s="149"/>
      <c r="U35" s="149"/>
      <c r="V35" s="149"/>
      <c r="W35" s="149"/>
      <c r="X35" s="149"/>
      <c r="Y35" s="149"/>
      <c r="Z35" s="149"/>
      <c r="AA35" s="149"/>
      <c r="AB35" s="149"/>
      <c r="AC35" s="149"/>
    </row>
    <row r="36" spans="2:29" ht="17.25" customHeight="1">
      <c r="B36" s="135"/>
      <c r="C36" s="162" t="s">
        <v>5</v>
      </c>
      <c r="D36" s="250" t="s">
        <v>182</v>
      </c>
      <c r="E36" s="250"/>
      <c r="F36" s="250"/>
      <c r="G36" s="250"/>
      <c r="H36" s="250"/>
      <c r="I36" s="250"/>
      <c r="J36" s="250"/>
      <c r="K36" s="250"/>
      <c r="L36" s="145"/>
      <c r="M36" s="149"/>
      <c r="N36" s="149"/>
      <c r="O36" s="149"/>
      <c r="P36" s="149"/>
      <c r="Q36" s="149"/>
      <c r="R36" s="149"/>
      <c r="S36" s="149"/>
      <c r="T36" s="149"/>
      <c r="U36" s="149"/>
      <c r="V36" s="149"/>
      <c r="W36" s="149"/>
      <c r="X36" s="149"/>
      <c r="Y36" s="149"/>
      <c r="Z36" s="149"/>
      <c r="AA36" s="149"/>
      <c r="AB36" s="149"/>
      <c r="AC36" s="149"/>
    </row>
    <row r="37" spans="2:29" ht="17.25" customHeight="1">
      <c r="B37" s="135"/>
      <c r="C37" s="162"/>
      <c r="D37" s="251" t="s">
        <v>195</v>
      </c>
      <c r="E37" s="251"/>
      <c r="F37" s="251"/>
      <c r="G37" s="251"/>
      <c r="H37" s="251"/>
      <c r="I37" s="251"/>
      <c r="J37" s="251"/>
      <c r="K37" s="251"/>
      <c r="L37" s="145"/>
      <c r="M37" s="149"/>
      <c r="N37" s="149"/>
      <c r="O37" s="149"/>
      <c r="P37" s="149"/>
      <c r="Q37" s="149"/>
      <c r="R37" s="149"/>
      <c r="S37" s="149"/>
      <c r="T37" s="149"/>
      <c r="U37" s="149"/>
      <c r="V37" s="149"/>
      <c r="W37" s="149"/>
      <c r="X37" s="149"/>
      <c r="Y37" s="149"/>
      <c r="Z37" s="149"/>
      <c r="AA37" s="149"/>
      <c r="AB37" s="149"/>
      <c r="AC37" s="149"/>
    </row>
    <row r="38" spans="2:29" ht="17.25" customHeight="1">
      <c r="B38" s="135"/>
      <c r="C38" s="162"/>
      <c r="D38" s="251" t="s">
        <v>196</v>
      </c>
      <c r="E38" s="251"/>
      <c r="F38" s="251"/>
      <c r="G38" s="251"/>
      <c r="H38" s="251"/>
      <c r="I38" s="251"/>
      <c r="J38" s="251"/>
      <c r="K38" s="251"/>
      <c r="L38" s="145"/>
      <c r="M38" s="149"/>
      <c r="N38" s="149"/>
      <c r="O38" s="149"/>
      <c r="P38" s="149"/>
      <c r="Q38" s="149"/>
      <c r="R38" s="149"/>
      <c r="S38" s="149"/>
      <c r="T38" s="149"/>
      <c r="U38" s="149"/>
      <c r="V38" s="149"/>
      <c r="W38" s="149"/>
      <c r="X38" s="149"/>
      <c r="Y38" s="149"/>
      <c r="Z38" s="149"/>
      <c r="AA38" s="149"/>
      <c r="AB38" s="149"/>
      <c r="AC38" s="149"/>
    </row>
    <row r="39" spans="2:29" ht="17.25" customHeight="1">
      <c r="B39" s="135"/>
      <c r="C39" s="162"/>
      <c r="D39" s="251" t="s">
        <v>179</v>
      </c>
      <c r="E39" s="251"/>
      <c r="F39" s="251"/>
      <c r="G39" s="251"/>
      <c r="H39" s="251"/>
      <c r="I39" s="251"/>
      <c r="J39" s="251"/>
      <c r="K39" s="251"/>
      <c r="L39" s="145"/>
      <c r="M39" s="149"/>
      <c r="N39" s="149"/>
      <c r="O39" s="149"/>
      <c r="P39" s="149"/>
      <c r="Q39" s="149"/>
      <c r="R39" s="149"/>
      <c r="S39" s="149"/>
      <c r="T39" s="149"/>
      <c r="U39" s="149"/>
      <c r="V39" s="149"/>
      <c r="W39" s="149"/>
      <c r="X39" s="149"/>
      <c r="Y39" s="149"/>
      <c r="Z39" s="149"/>
      <c r="AA39" s="149"/>
      <c r="AB39" s="149"/>
      <c r="AC39" s="149"/>
    </row>
    <row r="40" spans="2:29" ht="17.25" customHeight="1">
      <c r="B40" s="135"/>
      <c r="C40" s="162"/>
      <c r="D40" s="266" t="s">
        <v>180</v>
      </c>
      <c r="E40" s="266"/>
      <c r="F40" s="266"/>
      <c r="G40" s="266"/>
      <c r="H40" s="266"/>
      <c r="I40" s="266"/>
      <c r="J40" s="266"/>
      <c r="K40" s="266"/>
      <c r="L40" s="145"/>
      <c r="M40" s="149"/>
      <c r="N40" s="149"/>
      <c r="O40" s="149"/>
      <c r="P40" s="149"/>
      <c r="Q40" s="149"/>
      <c r="R40" s="149"/>
      <c r="S40" s="149"/>
      <c r="T40" s="149"/>
      <c r="U40" s="149"/>
      <c r="V40" s="149"/>
      <c r="W40" s="149"/>
      <c r="X40" s="149"/>
      <c r="Y40" s="149"/>
      <c r="Z40" s="149"/>
      <c r="AA40" s="149"/>
      <c r="AB40" s="149"/>
      <c r="AC40" s="149"/>
    </row>
    <row r="41" spans="2:29" ht="17.25" customHeight="1">
      <c r="B41" s="135"/>
      <c r="C41" s="162" t="s">
        <v>6</v>
      </c>
      <c r="D41" s="251" t="s">
        <v>54</v>
      </c>
      <c r="E41" s="251"/>
      <c r="F41" s="251"/>
      <c r="G41" s="251"/>
      <c r="H41" s="251"/>
      <c r="I41" s="251"/>
      <c r="J41" s="251"/>
      <c r="K41" s="251"/>
      <c r="L41" s="145"/>
      <c r="M41" s="149"/>
      <c r="N41" s="149"/>
      <c r="O41" s="149"/>
      <c r="P41" s="149"/>
      <c r="Q41" s="149"/>
      <c r="R41" s="149"/>
      <c r="S41" s="149"/>
      <c r="T41" s="149"/>
      <c r="U41" s="149"/>
      <c r="V41" s="149"/>
      <c r="W41" s="149"/>
      <c r="X41" s="149"/>
      <c r="Y41" s="149"/>
      <c r="Z41" s="149"/>
      <c r="AA41" s="149"/>
      <c r="AB41" s="149"/>
      <c r="AC41" s="149"/>
    </row>
    <row r="42" spans="2:29" ht="17.25" customHeight="1">
      <c r="B42" s="135"/>
      <c r="C42" s="162" t="s">
        <v>7</v>
      </c>
      <c r="D42" s="251" t="s">
        <v>55</v>
      </c>
      <c r="E42" s="251"/>
      <c r="F42" s="251"/>
      <c r="G42" s="251"/>
      <c r="H42" s="251"/>
      <c r="I42" s="251"/>
      <c r="J42" s="251"/>
      <c r="K42" s="251"/>
      <c r="L42" s="145"/>
      <c r="M42" s="149"/>
      <c r="N42" s="149"/>
      <c r="O42" s="149"/>
      <c r="P42" s="149"/>
      <c r="Q42" s="149"/>
      <c r="R42" s="149"/>
      <c r="S42" s="149"/>
      <c r="T42" s="149"/>
      <c r="U42" s="149"/>
      <c r="V42" s="149"/>
      <c r="W42" s="149"/>
      <c r="X42" s="149"/>
      <c r="Y42" s="149"/>
      <c r="Z42" s="149"/>
      <c r="AA42" s="149"/>
      <c r="AB42" s="149"/>
      <c r="AC42" s="149"/>
    </row>
    <row r="43" spans="2:29" ht="17.25" customHeight="1">
      <c r="B43" s="135"/>
      <c r="C43" s="162"/>
      <c r="D43" s="251" t="s">
        <v>8</v>
      </c>
      <c r="E43" s="251"/>
      <c r="F43" s="251"/>
      <c r="G43" s="251"/>
      <c r="H43" s="251"/>
      <c r="I43" s="251"/>
      <c r="J43" s="251"/>
      <c r="K43" s="251"/>
      <c r="L43" s="145"/>
      <c r="M43" s="149"/>
      <c r="N43" s="149"/>
      <c r="O43" s="149"/>
      <c r="P43" s="149"/>
      <c r="Q43" s="149"/>
      <c r="R43" s="149"/>
      <c r="S43" s="149"/>
      <c r="T43" s="149"/>
      <c r="U43" s="149"/>
      <c r="V43" s="149"/>
      <c r="W43" s="149"/>
      <c r="X43" s="149"/>
      <c r="Y43" s="149"/>
      <c r="Z43" s="149"/>
      <c r="AA43" s="149"/>
      <c r="AB43" s="149"/>
      <c r="AC43" s="149"/>
    </row>
    <row r="44" spans="2:29" ht="17.25" customHeight="1">
      <c r="B44" s="135"/>
      <c r="C44" s="175" t="s">
        <v>95</v>
      </c>
      <c r="D44" s="250" t="s">
        <v>181</v>
      </c>
      <c r="E44" s="250"/>
      <c r="F44" s="250"/>
      <c r="G44" s="250"/>
      <c r="H44" s="250"/>
      <c r="I44" s="250"/>
      <c r="J44" s="250"/>
      <c r="K44" s="250"/>
      <c r="L44" s="145"/>
      <c r="M44" s="149"/>
      <c r="N44" s="149"/>
      <c r="O44" s="149"/>
      <c r="P44" s="149"/>
      <c r="Q44" s="149"/>
      <c r="R44" s="149"/>
      <c r="S44" s="149"/>
      <c r="T44" s="149"/>
      <c r="U44" s="149"/>
      <c r="V44" s="149"/>
      <c r="W44" s="149"/>
      <c r="X44" s="149"/>
      <c r="Y44" s="149"/>
      <c r="Z44" s="149"/>
      <c r="AA44" s="149"/>
      <c r="AB44" s="149"/>
      <c r="AC44" s="149"/>
    </row>
    <row r="45" spans="2:29" ht="17.25" customHeight="1">
      <c r="B45" s="135"/>
      <c r="C45" s="175" t="s">
        <v>178</v>
      </c>
      <c r="D45" s="251" t="s">
        <v>34</v>
      </c>
      <c r="E45" s="251"/>
      <c r="F45" s="251"/>
      <c r="G45" s="251"/>
      <c r="H45" s="251"/>
      <c r="I45" s="251"/>
      <c r="J45" s="251"/>
      <c r="K45" s="251"/>
      <c r="L45" s="141"/>
      <c r="M45" s="149"/>
      <c r="N45" s="149"/>
      <c r="O45" s="149"/>
      <c r="P45" s="149"/>
      <c r="Q45" s="149"/>
      <c r="R45" s="149"/>
      <c r="S45" s="149"/>
      <c r="T45" s="149"/>
      <c r="U45" s="149"/>
      <c r="V45" s="149"/>
      <c r="W45" s="149"/>
      <c r="X45" s="149"/>
      <c r="Y45" s="149"/>
      <c r="Z45" s="149"/>
      <c r="AA45" s="149"/>
      <c r="AB45" s="149"/>
      <c r="AC45" s="149"/>
    </row>
    <row r="46" spans="2:29" ht="17.25" customHeight="1">
      <c r="B46" s="135"/>
      <c r="C46" s="162"/>
      <c r="D46" s="251" t="s">
        <v>197</v>
      </c>
      <c r="E46" s="251"/>
      <c r="F46" s="251"/>
      <c r="G46" s="251"/>
      <c r="H46" s="251"/>
      <c r="I46" s="251"/>
      <c r="J46" s="251"/>
      <c r="K46" s="251"/>
      <c r="L46" s="141"/>
      <c r="M46" s="149"/>
      <c r="N46" s="149"/>
      <c r="O46" s="149"/>
      <c r="P46" s="149"/>
      <c r="Q46" s="149"/>
      <c r="R46" s="149"/>
      <c r="S46" s="149"/>
      <c r="T46" s="149"/>
      <c r="U46" s="149"/>
      <c r="V46" s="149"/>
      <c r="W46" s="149"/>
      <c r="X46" s="149"/>
      <c r="Y46" s="149"/>
      <c r="Z46" s="149"/>
      <c r="AA46" s="149"/>
      <c r="AB46" s="149"/>
      <c r="AC46" s="149"/>
    </row>
    <row r="47" spans="2:29" ht="17.25" customHeight="1">
      <c r="B47" s="135"/>
      <c r="C47" s="175" t="s">
        <v>183</v>
      </c>
      <c r="D47" s="266" t="s">
        <v>169</v>
      </c>
      <c r="E47" s="266"/>
      <c r="F47" s="266"/>
      <c r="G47" s="266"/>
      <c r="H47" s="266"/>
      <c r="I47" s="266"/>
      <c r="J47" s="266"/>
      <c r="K47" s="266"/>
      <c r="L47" s="141"/>
      <c r="M47" s="149"/>
      <c r="N47" s="149"/>
      <c r="O47" s="149"/>
      <c r="P47" s="149"/>
      <c r="Q47" s="149"/>
      <c r="R47" s="149"/>
      <c r="S47" s="149"/>
      <c r="T47" s="149"/>
      <c r="U47" s="149"/>
      <c r="V47" s="149"/>
      <c r="W47" s="149"/>
      <c r="X47" s="149"/>
      <c r="Y47" s="149"/>
      <c r="Z47" s="149"/>
      <c r="AA47" s="149"/>
      <c r="AB47" s="149"/>
      <c r="AC47" s="149"/>
    </row>
    <row r="48" spans="2:29" ht="17.25" customHeight="1">
      <c r="B48" s="135"/>
      <c r="C48" s="162"/>
      <c r="D48" s="163" t="s">
        <v>176</v>
      </c>
      <c r="E48" s="164"/>
      <c r="F48" s="164"/>
      <c r="G48" s="164"/>
      <c r="H48" s="164"/>
      <c r="I48" s="164"/>
      <c r="J48" s="164"/>
      <c r="K48" s="164"/>
      <c r="L48" s="141"/>
      <c r="M48" s="149"/>
      <c r="N48" s="149"/>
      <c r="O48" s="149"/>
      <c r="P48" s="149"/>
      <c r="Q48" s="149"/>
      <c r="R48" s="149"/>
      <c r="S48" s="149"/>
      <c r="T48" s="149"/>
      <c r="U48" s="149"/>
      <c r="V48" s="149"/>
      <c r="W48" s="149"/>
      <c r="X48" s="149"/>
      <c r="Y48" s="149"/>
      <c r="Z48" s="149"/>
      <c r="AA48" s="149"/>
      <c r="AB48" s="149"/>
      <c r="AC48" s="149"/>
    </row>
    <row r="49" spans="2:49" ht="17.25" customHeight="1">
      <c r="B49" s="135"/>
      <c r="C49" s="162"/>
      <c r="D49" s="165" t="s">
        <v>192</v>
      </c>
      <c r="E49" s="164"/>
      <c r="F49" s="164"/>
      <c r="G49" s="164"/>
      <c r="H49" s="164"/>
      <c r="I49" s="164"/>
      <c r="J49" s="164"/>
      <c r="K49" s="164"/>
      <c r="L49" s="141"/>
      <c r="M49" s="149"/>
      <c r="N49" s="149"/>
      <c r="O49" s="149"/>
      <c r="P49" s="149"/>
      <c r="Q49" s="149"/>
      <c r="R49" s="149"/>
      <c r="S49" s="149"/>
      <c r="T49" s="149"/>
      <c r="U49" s="149"/>
      <c r="V49" s="149"/>
      <c r="W49" s="149"/>
      <c r="X49" s="149"/>
      <c r="Y49" s="149"/>
      <c r="Z49" s="149"/>
      <c r="AA49" s="149"/>
      <c r="AB49" s="149"/>
      <c r="AC49" s="149"/>
    </row>
    <row r="50" spans="2:49" ht="17.25" customHeight="1">
      <c r="B50" s="135"/>
      <c r="C50" s="162"/>
      <c r="D50" s="165" t="s">
        <v>193</v>
      </c>
      <c r="E50" s="166"/>
      <c r="F50" s="166"/>
      <c r="G50" s="166"/>
      <c r="H50" s="166"/>
      <c r="I50" s="166"/>
      <c r="J50" s="166"/>
      <c r="K50" s="166"/>
      <c r="L50" s="167"/>
    </row>
    <row r="51" spans="2:49" ht="17.25" customHeight="1">
      <c r="B51" s="135"/>
      <c r="C51" s="162"/>
      <c r="D51" s="168" t="s">
        <v>147</v>
      </c>
      <c r="E51" s="164"/>
      <c r="F51" s="166"/>
      <c r="G51" s="166"/>
      <c r="H51" s="166"/>
      <c r="I51" s="166"/>
      <c r="J51" s="166"/>
      <c r="K51" s="164"/>
      <c r="L51" s="167"/>
    </row>
    <row r="52" spans="2:49" ht="17.25" customHeight="1">
      <c r="B52" s="135"/>
      <c r="C52" s="162"/>
      <c r="D52" s="163" t="s">
        <v>146</v>
      </c>
      <c r="E52" s="166"/>
      <c r="F52" s="166"/>
      <c r="G52" s="166"/>
      <c r="H52" s="166"/>
      <c r="I52" s="166"/>
      <c r="J52" s="166"/>
      <c r="K52" s="166"/>
      <c r="L52" s="167"/>
    </row>
    <row r="53" spans="2:49" ht="17.25" customHeight="1">
      <c r="B53" s="135"/>
      <c r="C53" s="162"/>
      <c r="D53" s="163" t="s">
        <v>145</v>
      </c>
      <c r="E53" s="166"/>
      <c r="F53" s="166"/>
      <c r="G53" s="166"/>
      <c r="H53" s="166"/>
      <c r="I53" s="166"/>
      <c r="J53" s="166"/>
      <c r="K53" s="166"/>
      <c r="L53" s="167"/>
      <c r="AE53" s="169"/>
      <c r="AF53" s="169"/>
      <c r="AG53" s="169"/>
      <c r="AH53" s="169"/>
      <c r="AI53" s="169"/>
      <c r="AJ53" s="169"/>
      <c r="AK53" s="169"/>
      <c r="AL53" s="169"/>
      <c r="AM53" s="169"/>
      <c r="AN53" s="169"/>
      <c r="AO53" s="169"/>
      <c r="AP53" s="169"/>
      <c r="AQ53" s="169"/>
      <c r="AR53" s="169"/>
      <c r="AS53" s="169"/>
      <c r="AT53" s="169"/>
      <c r="AU53" s="169"/>
      <c r="AV53" s="169"/>
      <c r="AW53" s="169"/>
    </row>
    <row r="54" spans="2:49" ht="17.25" customHeight="1">
      <c r="B54" s="135"/>
      <c r="C54" s="162"/>
      <c r="D54" s="163" t="s">
        <v>194</v>
      </c>
      <c r="E54" s="166"/>
      <c r="F54" s="166"/>
      <c r="G54" s="166"/>
      <c r="H54" s="166"/>
      <c r="I54" s="166"/>
      <c r="J54" s="166"/>
      <c r="K54" s="166"/>
      <c r="L54" s="167"/>
      <c r="AE54" s="169"/>
      <c r="AF54" s="169"/>
      <c r="AG54" s="169"/>
      <c r="AH54" s="169"/>
      <c r="AI54" s="169"/>
      <c r="AJ54" s="169"/>
      <c r="AK54" s="169"/>
      <c r="AL54" s="169"/>
      <c r="AM54" s="169"/>
      <c r="AN54" s="169"/>
      <c r="AO54" s="169"/>
      <c r="AP54" s="169"/>
      <c r="AQ54" s="169"/>
      <c r="AR54" s="169"/>
      <c r="AS54" s="169"/>
      <c r="AT54" s="169"/>
      <c r="AU54" s="169"/>
      <c r="AV54" s="169"/>
      <c r="AW54" s="169"/>
    </row>
    <row r="55" spans="2:49" ht="17.25" customHeight="1">
      <c r="B55" s="135"/>
      <c r="C55" s="175" t="s">
        <v>183</v>
      </c>
      <c r="D55" s="263" t="str">
        <f>"国民健康保険料の令和８年度限度額は、"&amp;ROUNDDOWN(SUM(計算根拠!D10:G10),-2)/10000&amp;"万円です。"</f>
        <v>国民健康保険料の令和８年度限度額は、113万円です。</v>
      </c>
      <c r="E55" s="264"/>
      <c r="F55" s="264"/>
      <c r="G55" s="264"/>
      <c r="H55" s="264"/>
      <c r="I55" s="264"/>
      <c r="J55" s="264"/>
      <c r="K55" s="264"/>
      <c r="L55" s="141"/>
    </row>
    <row r="56" spans="2:49" ht="17.25" customHeight="1">
      <c r="B56" s="135"/>
      <c r="C56" s="162"/>
      <c r="D56" s="263" t="str">
        <f>"　(医療給付費分；"&amp;計算根拠!D10/10000&amp;"万円・後期高齢者支援分：" &amp;計算根拠!E10/10000&amp;"万円・介護納付金分 : " &amp;計算根拠!F10/10000&amp;"万円・子ども・子育て支援納付金分："&amp;計算根拠!G10/10000&amp;"万円)"</f>
        <v>　(医療給付費分；67万円・後期高齢者支援分：26万円・介護納付金分 : 17万円・子ども・子育て支援納付金分：3万円)</v>
      </c>
      <c r="E56" s="264"/>
      <c r="F56" s="264"/>
      <c r="G56" s="264"/>
      <c r="H56" s="264"/>
      <c r="I56" s="264"/>
      <c r="J56" s="264"/>
      <c r="K56" s="264"/>
      <c r="L56" s="141"/>
    </row>
    <row r="57" spans="2:49" ht="17.25" customHeight="1">
      <c r="B57" s="135"/>
      <c r="C57" s="170" t="s">
        <v>32</v>
      </c>
      <c r="D57" s="262" t="s">
        <v>177</v>
      </c>
      <c r="E57" s="262"/>
      <c r="F57" s="262"/>
      <c r="G57" s="262"/>
      <c r="H57" s="262"/>
      <c r="I57" s="262"/>
      <c r="J57" s="262"/>
      <c r="K57" s="262"/>
      <c r="L57" s="141"/>
    </row>
    <row r="58" spans="2:49" ht="17.25" customHeight="1">
      <c r="B58" s="135"/>
      <c r="C58" s="162"/>
      <c r="D58" s="251" t="s">
        <v>167</v>
      </c>
      <c r="E58" s="251"/>
      <c r="F58" s="251"/>
      <c r="G58" s="251"/>
      <c r="H58" s="251"/>
      <c r="I58" s="251"/>
      <c r="J58" s="251"/>
      <c r="K58" s="251"/>
      <c r="L58" s="141"/>
    </row>
    <row r="59" spans="2:49" ht="17.25" customHeight="1">
      <c r="B59" s="135"/>
      <c r="C59" s="162"/>
      <c r="D59" s="251" t="s">
        <v>166</v>
      </c>
      <c r="E59" s="251"/>
      <c r="F59" s="251"/>
      <c r="G59" s="251"/>
      <c r="H59" s="251"/>
      <c r="I59" s="251"/>
      <c r="J59" s="251"/>
      <c r="K59" s="251"/>
      <c r="L59" s="141"/>
    </row>
    <row r="60" spans="2:49" ht="17.25" customHeight="1">
      <c r="B60" s="135"/>
      <c r="C60" s="162"/>
      <c r="D60" s="251" t="s">
        <v>171</v>
      </c>
      <c r="E60" s="251"/>
      <c r="F60" s="251"/>
      <c r="G60" s="251"/>
      <c r="H60" s="251"/>
      <c r="I60" s="251"/>
      <c r="J60" s="251"/>
      <c r="K60" s="251"/>
      <c r="L60" s="141"/>
    </row>
    <row r="61" spans="2:49" ht="16.5" customHeight="1">
      <c r="B61" s="135"/>
      <c r="C61" s="135"/>
      <c r="D61" s="265"/>
      <c r="E61" s="265"/>
      <c r="F61" s="265"/>
      <c r="G61" s="265"/>
      <c r="H61" s="265"/>
      <c r="I61" s="265"/>
      <c r="J61" s="265"/>
      <c r="K61" s="265"/>
      <c r="L61" s="141"/>
    </row>
    <row r="62" spans="2:49" ht="18.75" customHeight="1">
      <c r="B62" s="135"/>
      <c r="C62" s="135"/>
      <c r="D62" s="261"/>
      <c r="E62" s="261"/>
      <c r="F62" s="261"/>
      <c r="G62" s="261"/>
      <c r="H62" s="261"/>
      <c r="I62" s="261"/>
      <c r="J62" s="261"/>
      <c r="K62" s="261"/>
      <c r="L62" s="141"/>
    </row>
  </sheetData>
  <sheetProtection sheet="1" objects="1" scenarios="1"/>
  <mergeCells count="45">
    <mergeCell ref="F8:G8"/>
    <mergeCell ref="D42:K42"/>
    <mergeCell ref="D38:K38"/>
    <mergeCell ref="D40:K40"/>
    <mergeCell ref="D47:K47"/>
    <mergeCell ref="D8:E8"/>
    <mergeCell ref="D43:K43"/>
    <mergeCell ref="D45:K45"/>
    <mergeCell ref="D46:K46"/>
    <mergeCell ref="D9:E9"/>
    <mergeCell ref="F9:G9"/>
    <mergeCell ref="D62:K62"/>
    <mergeCell ref="D57:K57"/>
    <mergeCell ref="D60:K60"/>
    <mergeCell ref="D59:K59"/>
    <mergeCell ref="D39:K39"/>
    <mergeCell ref="D41:K41"/>
    <mergeCell ref="D56:K56"/>
    <mergeCell ref="D58:K58"/>
    <mergeCell ref="D55:K55"/>
    <mergeCell ref="D61:K61"/>
    <mergeCell ref="D44:K44"/>
    <mergeCell ref="I3:K4"/>
    <mergeCell ref="D19:K19"/>
    <mergeCell ref="D20:K20"/>
    <mergeCell ref="D36:K36"/>
    <mergeCell ref="D37:K37"/>
    <mergeCell ref="D18:K18"/>
    <mergeCell ref="F11:G11"/>
    <mergeCell ref="D16:K16"/>
    <mergeCell ref="D17:K17"/>
    <mergeCell ref="H25:H26"/>
    <mergeCell ref="D5:E5"/>
    <mergeCell ref="D6:E6"/>
    <mergeCell ref="D7:E7"/>
    <mergeCell ref="F5:G5"/>
    <mergeCell ref="F6:G6"/>
    <mergeCell ref="F7:G7"/>
    <mergeCell ref="C25:C26"/>
    <mergeCell ref="I25:K25"/>
    <mergeCell ref="F12:G12"/>
    <mergeCell ref="D13:K13"/>
    <mergeCell ref="D14:K14"/>
    <mergeCell ref="D15:K15"/>
    <mergeCell ref="D21:K21"/>
  </mergeCells>
  <phoneticPr fontId="2"/>
  <dataValidations count="4">
    <dataValidation imeMode="off" allowBlank="1" showInputMessage="1" showErrorMessage="1" sqref="K27:K34 C27:C34 I27:I34 E27:G34" xr:uid="{00000000-0002-0000-0000-000000000000}"/>
    <dataValidation type="list" imeMode="off" allowBlank="1" showInputMessage="1" showErrorMessage="1" sqref="J27:J34" xr:uid="{00000000-0002-0000-0000-000001000000}">
      <formula1>"11,12,21,22,31,32,23,33,34"</formula1>
    </dataValidation>
    <dataValidation imeMode="hiragana" allowBlank="1" showInputMessage="1" showErrorMessage="1" sqref="H25 D38 C41:D42 C35:D36 E63:L1048576 E35:K35 C25:G26 I25:K26 D60 B58:D59 D52:D57 D43 C44:D44 D45:D50 B60:B62 C61:D1048576 C45:C57 B3:B57" xr:uid="{00000000-0002-0000-0000-000002000000}"/>
    <dataValidation type="list" allowBlank="1" showInputMessage="1" showErrorMessage="1" sqref="H27:H34" xr:uid="{00000000-0002-0000-0000-000003000000}">
      <formula1>"該当する,　"</formula1>
    </dataValidation>
  </dataValidations>
  <printOptions horizontalCentered="1"/>
  <pageMargins left="0.59055118110236227" right="0.39370078740157483" top="0.39370078740157483" bottom="0.19685039370078741" header="0.19685039370078741" footer="0.19685039370078741"/>
  <pageSetup paperSize="9" scale="80" fitToWidth="0" fitToHeight="0" orientation="portrait"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計算根拠!$C$33:$C$40</xm:f>
          </x14:formula1>
          <xm:sqref>D27</xm:sqref>
        </x14:dataValidation>
        <x14:dataValidation type="list" allowBlank="1" showInputMessage="1" showErrorMessage="1" xr:uid="{8E759632-EE09-4796-B903-64BB6C04FDB3}">
          <x14:formula1>
            <xm:f>計算根拠!$C$45:$C$50</xm:f>
          </x14:formula1>
          <xm:sqref>D28:D34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view="pageBreakPreview" topLeftCell="D1" zoomScale="140" zoomScaleNormal="100" zoomScaleSheetLayoutView="140" workbookViewId="0">
      <selection activeCell="K13" sqref="K13"/>
    </sheetView>
  </sheetViews>
  <sheetFormatPr defaultRowHeight="18" customHeight="1"/>
  <cols>
    <col min="1" max="2" width="1.6640625" customWidth="1"/>
    <col min="3" max="3" width="10.44140625" customWidth="1"/>
    <col min="4" max="19" width="10.6640625" customWidth="1"/>
    <col min="20" max="20" width="9.6640625" customWidth="1"/>
    <col min="21" max="22" width="1.6640625" customWidth="1"/>
  </cols>
  <sheetData>
    <row r="1" spans="1:22" ht="18" customHeight="1" thickBot="1">
      <c r="A1" s="1"/>
      <c r="B1" s="1"/>
      <c r="C1" s="1"/>
      <c r="D1" s="1"/>
      <c r="E1" s="1"/>
      <c r="F1" s="1"/>
      <c r="G1" s="1"/>
      <c r="H1" s="1"/>
      <c r="I1" s="1"/>
      <c r="J1" s="1"/>
      <c r="K1" s="1"/>
      <c r="L1" s="1"/>
      <c r="M1" s="1"/>
      <c r="N1" s="1"/>
      <c r="O1" s="1"/>
      <c r="P1" s="1"/>
      <c r="Q1" s="1"/>
      <c r="R1" s="1"/>
      <c r="S1" s="1"/>
      <c r="T1" s="1"/>
      <c r="U1" s="1"/>
      <c r="V1" s="1"/>
    </row>
    <row r="2" spans="1:22" ht="18" customHeight="1">
      <c r="A2" s="1"/>
      <c r="B2" s="62"/>
      <c r="C2" s="104" t="s">
        <v>62</v>
      </c>
      <c r="D2" s="31"/>
      <c r="E2" s="31"/>
      <c r="F2" s="31"/>
      <c r="G2" s="31"/>
      <c r="H2" s="31"/>
      <c r="I2" s="31"/>
      <c r="J2" s="31"/>
      <c r="K2" s="31"/>
      <c r="L2" s="31"/>
      <c r="M2" s="31" t="s">
        <v>163</v>
      </c>
      <c r="N2" s="31"/>
      <c r="O2" s="31"/>
      <c r="P2" s="31"/>
      <c r="Q2" s="31"/>
      <c r="R2" s="31"/>
      <c r="S2" s="31"/>
      <c r="T2" s="237"/>
      <c r="U2" s="239"/>
    </row>
    <row r="3" spans="1:22" ht="18" customHeight="1">
      <c r="A3" s="1"/>
      <c r="B3" s="32"/>
      <c r="C3" s="34" t="s">
        <v>184</v>
      </c>
      <c r="D3" s="33"/>
      <c r="E3" s="33"/>
      <c r="F3" s="33"/>
      <c r="G3" s="33"/>
      <c r="H3" s="33"/>
      <c r="I3" s="18" t="s">
        <v>44</v>
      </c>
      <c r="J3" s="176">
        <f>M30</f>
        <v>853600</v>
      </c>
      <c r="K3" s="33" t="s">
        <v>71</v>
      </c>
      <c r="L3" s="33"/>
      <c r="M3" s="1"/>
      <c r="N3" s="1"/>
      <c r="O3" s="1"/>
      <c r="P3" s="1"/>
      <c r="Q3" s="33"/>
      <c r="R3" s="33"/>
      <c r="S3" s="33"/>
      <c r="T3" s="33"/>
      <c r="U3" s="36"/>
    </row>
    <row r="4" spans="1:22" ht="18" customHeight="1">
      <c r="A4" s="1"/>
      <c r="B4" s="32"/>
      <c r="C4" s="20"/>
      <c r="D4" s="21" t="s">
        <v>41</v>
      </c>
      <c r="E4" s="22" t="s">
        <v>42</v>
      </c>
      <c r="F4" s="21" t="s">
        <v>35</v>
      </c>
      <c r="G4" s="22" t="s">
        <v>185</v>
      </c>
      <c r="H4" s="33"/>
      <c r="I4" s="19" t="s">
        <v>43</v>
      </c>
      <c r="J4" s="177">
        <f>SUM(E33:E37)</f>
        <v>2</v>
      </c>
      <c r="K4" s="33" t="s">
        <v>72</v>
      </c>
      <c r="L4" s="33"/>
      <c r="M4" s="18" t="s">
        <v>45</v>
      </c>
      <c r="N4" s="178" t="str">
        <f>IF(S34&lt;&gt;"－",S34,IF(S35&lt;&gt;"－",S35,IF(S36&lt;&gt;"－",S36,"－")))</f>
        <v>－</v>
      </c>
      <c r="O4" s="33" t="s">
        <v>73</v>
      </c>
      <c r="P4" s="33"/>
      <c r="Q4" s="33"/>
      <c r="R4" s="33"/>
      <c r="S4" s="33"/>
      <c r="T4" s="33"/>
      <c r="U4" s="36"/>
    </row>
    <row r="5" spans="1:22" ht="18" customHeight="1">
      <c r="A5" s="1"/>
      <c r="B5" s="32"/>
      <c r="C5" s="21" t="s">
        <v>38</v>
      </c>
      <c r="D5" s="215">
        <v>7.1800000000000003E-2</v>
      </c>
      <c r="E5" s="215">
        <v>2.7199999999999998E-2</v>
      </c>
      <c r="F5" s="215">
        <v>2.3099999999999999E-2</v>
      </c>
      <c r="G5" s="215">
        <v>2.5000000000000001E-3</v>
      </c>
      <c r="H5" s="33" t="s">
        <v>67</v>
      </c>
      <c r="I5" s="179" t="str">
        <f>C33</f>
        <v>0～未就学児</v>
      </c>
      <c r="J5" s="180">
        <f>E33</f>
        <v>0</v>
      </c>
      <c r="K5" s="33" t="s">
        <v>156</v>
      </c>
      <c r="L5" s="33"/>
      <c r="M5" s="20"/>
      <c r="N5" s="21" t="s">
        <v>41</v>
      </c>
      <c r="O5" s="22" t="s">
        <v>42</v>
      </c>
      <c r="P5" s="21" t="s">
        <v>35</v>
      </c>
      <c r="Q5" s="22" t="s">
        <v>185</v>
      </c>
      <c r="R5" s="33"/>
      <c r="S5" s="33"/>
      <c r="T5" s="33"/>
      <c r="U5" s="35"/>
      <c r="V5" s="1"/>
    </row>
    <row r="6" spans="1:22" ht="18" customHeight="1">
      <c r="A6" s="1"/>
      <c r="B6" s="32"/>
      <c r="C6" s="21" t="s">
        <v>40</v>
      </c>
      <c r="D6" s="29">
        <v>19800</v>
      </c>
      <c r="E6" s="29">
        <v>7600</v>
      </c>
      <c r="F6" s="29">
        <v>5500</v>
      </c>
      <c r="G6" s="29">
        <v>700</v>
      </c>
      <c r="H6" s="33" t="s">
        <v>68</v>
      </c>
      <c r="I6" s="179" t="str">
        <f>C34</f>
        <v>小学生～高校生</v>
      </c>
      <c r="J6" s="180">
        <f>E34</f>
        <v>0</v>
      </c>
      <c r="K6" s="33" t="s">
        <v>157</v>
      </c>
      <c r="L6" s="33"/>
      <c r="M6" s="27" t="s">
        <v>40</v>
      </c>
      <c r="N6" s="184">
        <f t="shared" ref="N6:O8" si="0">IF($N$4="－",D6,D6*(1-$N$4*0.1))</f>
        <v>19800</v>
      </c>
      <c r="O6" s="184">
        <f t="shared" si="0"/>
        <v>7600</v>
      </c>
      <c r="P6" s="184">
        <f>IF(J8=0,0,IF($N$4="－",F6,F6*(1-$N$4*0.1)))</f>
        <v>0</v>
      </c>
      <c r="Q6" s="184">
        <f>IF($N$4="－",G6,G6*(1-$N$4*0.1))</f>
        <v>700</v>
      </c>
      <c r="R6" s="33" t="s">
        <v>151</v>
      </c>
      <c r="S6" s="33"/>
      <c r="T6" s="33"/>
      <c r="U6" s="35"/>
      <c r="V6" s="1"/>
    </row>
    <row r="7" spans="1:22" ht="18" customHeight="1">
      <c r="A7" s="1"/>
      <c r="B7" s="32"/>
      <c r="C7" s="58" t="s">
        <v>136</v>
      </c>
      <c r="D7" s="184">
        <f>D6/2</f>
        <v>9900</v>
      </c>
      <c r="E7" s="184">
        <f>E6/2</f>
        <v>3800</v>
      </c>
      <c r="F7" s="184">
        <f>F6</f>
        <v>5500</v>
      </c>
      <c r="G7" s="184">
        <f>G6/2</f>
        <v>350</v>
      </c>
      <c r="H7" s="33" t="s">
        <v>138</v>
      </c>
      <c r="I7" s="181" t="str">
        <f>C35</f>
        <v>19～39</v>
      </c>
      <c r="J7" s="180">
        <f>E35</f>
        <v>1</v>
      </c>
      <c r="K7" s="33" t="s">
        <v>158</v>
      </c>
      <c r="L7" s="33"/>
      <c r="M7" s="58" t="s">
        <v>136</v>
      </c>
      <c r="N7" s="184">
        <f t="shared" si="0"/>
        <v>9900</v>
      </c>
      <c r="O7" s="184">
        <f t="shared" si="0"/>
        <v>3800</v>
      </c>
      <c r="P7" s="184">
        <f>IF(J8=0,0,IF($N$4="－",F7,F7*(1-$N$4*0.1)))</f>
        <v>0</v>
      </c>
      <c r="Q7" s="184">
        <f>IF($N$4="－",G7,G7*(1-$N$4*0.1))</f>
        <v>350</v>
      </c>
      <c r="R7" s="33" t="s">
        <v>152</v>
      </c>
      <c r="S7" s="33"/>
      <c r="T7" s="238"/>
      <c r="U7" s="35"/>
      <c r="V7" s="1"/>
    </row>
    <row r="8" spans="1:22" ht="18" customHeight="1">
      <c r="A8" s="1"/>
      <c r="B8" s="32"/>
      <c r="C8" s="21" t="s">
        <v>39</v>
      </c>
      <c r="D8" s="28">
        <v>30300</v>
      </c>
      <c r="E8" s="28">
        <v>11000</v>
      </c>
      <c r="F8" s="28">
        <v>11200</v>
      </c>
      <c r="G8" s="28">
        <v>1200</v>
      </c>
      <c r="H8" s="33" t="s">
        <v>69</v>
      </c>
      <c r="I8" s="181" t="str">
        <f>C36</f>
        <v>40～64</v>
      </c>
      <c r="J8" s="180">
        <f>E36</f>
        <v>0</v>
      </c>
      <c r="K8" s="33" t="s">
        <v>159</v>
      </c>
      <c r="L8" s="33"/>
      <c r="M8" s="114" t="s">
        <v>149</v>
      </c>
      <c r="N8" s="185">
        <f t="shared" si="0"/>
        <v>30300</v>
      </c>
      <c r="O8" s="185">
        <f t="shared" si="0"/>
        <v>11000</v>
      </c>
      <c r="P8" s="185">
        <f>IF(J8=0,0,IF($N$4="－",F8,F8*(1-$N$4*0.1)))</f>
        <v>0</v>
      </c>
      <c r="Q8" s="185">
        <f>IF($N$4="－",G8,G8*(1-$N$4*0.1))</f>
        <v>1200</v>
      </c>
      <c r="R8" s="33" t="s">
        <v>153</v>
      </c>
      <c r="S8" s="33"/>
      <c r="T8" s="33"/>
      <c r="U8" s="36"/>
      <c r="V8" s="1"/>
    </row>
    <row r="9" spans="1:22" ht="18" customHeight="1">
      <c r="A9" s="1"/>
      <c r="B9" s="32"/>
      <c r="C9" s="114" t="s">
        <v>202</v>
      </c>
      <c r="D9" s="185">
        <f>D8/2</f>
        <v>15150</v>
      </c>
      <c r="E9" s="185">
        <f>E8/2</f>
        <v>5500</v>
      </c>
      <c r="F9" s="116" t="s">
        <v>162</v>
      </c>
      <c r="G9" s="116" t="s">
        <v>162</v>
      </c>
      <c r="H9" s="33" t="s">
        <v>164</v>
      </c>
      <c r="I9" s="182" t="str">
        <f>C37</f>
        <v>65～74</v>
      </c>
      <c r="J9" s="183">
        <f>E37</f>
        <v>1</v>
      </c>
      <c r="K9" s="33" t="s">
        <v>189</v>
      </c>
      <c r="L9" s="33"/>
      <c r="M9" s="114" t="s">
        <v>150</v>
      </c>
      <c r="N9" s="185">
        <f>N8/2</f>
        <v>15150</v>
      </c>
      <c r="O9" s="185">
        <f>O8/2</f>
        <v>5500</v>
      </c>
      <c r="P9" s="116" t="s">
        <v>162</v>
      </c>
      <c r="Q9" s="116" t="s">
        <v>162</v>
      </c>
      <c r="R9" s="33" t="s">
        <v>155</v>
      </c>
      <c r="T9" s="33"/>
      <c r="U9" s="35"/>
      <c r="V9" s="1"/>
    </row>
    <row r="10" spans="1:22" ht="18" customHeight="1">
      <c r="A10" s="1"/>
      <c r="B10" s="32"/>
      <c r="C10" s="21" t="s">
        <v>206</v>
      </c>
      <c r="D10" s="117">
        <v>670000</v>
      </c>
      <c r="E10" s="117">
        <v>260000</v>
      </c>
      <c r="F10" s="117">
        <v>170000</v>
      </c>
      <c r="G10" s="117">
        <v>30000</v>
      </c>
      <c r="H10" s="33" t="s">
        <v>70</v>
      </c>
      <c r="I10" s="108" t="s">
        <v>140</v>
      </c>
      <c r="J10" s="186" t="str">
        <f>IF(E40=1,"該当","非該当")</f>
        <v>非該当</v>
      </c>
      <c r="K10" s="217">
        <f>SUM(D10:G10)</f>
        <v>1130000</v>
      </c>
      <c r="L10" s="217"/>
      <c r="M10" s="27" t="s">
        <v>64</v>
      </c>
      <c r="N10" s="187">
        <f>N8*SUM(J6:J9)+N9*J5</f>
        <v>60600</v>
      </c>
      <c r="O10" s="187">
        <f>O8*SUM(J6:J9)+O9*J5</f>
        <v>22000</v>
      </c>
      <c r="P10" s="187">
        <f>P8*J8</f>
        <v>0</v>
      </c>
      <c r="Q10" s="187">
        <f>Q8*SUM(J7:J9)</f>
        <v>2400</v>
      </c>
      <c r="R10" s="33" t="s">
        <v>161</v>
      </c>
      <c r="S10" s="33"/>
      <c r="T10" s="33"/>
      <c r="U10" s="35"/>
      <c r="V10" s="1"/>
    </row>
    <row r="11" spans="1:22" ht="18" customHeight="1">
      <c r="A11" s="1"/>
      <c r="B11" s="32"/>
      <c r="C11" s="1"/>
      <c r="D11" s="1"/>
      <c r="E11" s="1"/>
      <c r="F11" s="1"/>
      <c r="G11" s="1"/>
      <c r="H11" s="15"/>
      <c r="I11" s="15"/>
      <c r="J11" s="15"/>
      <c r="K11" s="33"/>
      <c r="L11" s="33"/>
      <c r="M11" s="1"/>
      <c r="N11" s="1"/>
      <c r="O11" s="1"/>
      <c r="P11" s="1"/>
      <c r="Q11" s="1"/>
      <c r="R11" s="115" t="s">
        <v>160</v>
      </c>
      <c r="S11" s="15"/>
      <c r="T11" s="15"/>
      <c r="U11" s="35"/>
      <c r="V11" s="1"/>
    </row>
    <row r="12" spans="1:22" ht="18" customHeight="1">
      <c r="A12" s="1"/>
      <c r="B12" s="32"/>
      <c r="C12" s="21" t="s">
        <v>53</v>
      </c>
      <c r="D12" s="187">
        <f>D$8*SUM($J$6:$J$9)+$D$9*J5+D6</f>
        <v>80400</v>
      </c>
      <c r="E12" s="187">
        <f>E$8*SUM($J$6:$J$9)+$E$9*J5+E6</f>
        <v>29600</v>
      </c>
      <c r="F12" s="187">
        <f>IF(J8=0,0,F$8*$J$8+F6)</f>
        <v>0</v>
      </c>
      <c r="G12" s="187">
        <f>G$8*SUM($J$7:$J$9)+G6</f>
        <v>3100</v>
      </c>
      <c r="H12" s="33" t="s">
        <v>143</v>
      </c>
      <c r="I12" s="33"/>
      <c r="J12" s="33"/>
      <c r="K12" s="33"/>
      <c r="L12" s="33"/>
      <c r="M12" s="21" t="s">
        <v>65</v>
      </c>
      <c r="N12" s="187">
        <f>SUM(N6,N10)</f>
        <v>80400</v>
      </c>
      <c r="O12" s="187">
        <f>SUM(O6,O10)</f>
        <v>29600</v>
      </c>
      <c r="P12" s="187">
        <f>SUM(P6,P10)</f>
        <v>0</v>
      </c>
      <c r="Q12" s="187">
        <f>SUM(Q6,Q10)</f>
        <v>3100</v>
      </c>
      <c r="R12" s="33" t="s">
        <v>80</v>
      </c>
      <c r="S12" s="33"/>
      <c r="T12" s="33"/>
      <c r="U12" s="35"/>
      <c r="V12" s="1"/>
    </row>
    <row r="13" spans="1:22" ht="18" customHeight="1">
      <c r="A13" s="1"/>
      <c r="B13" s="32"/>
      <c r="C13" s="109" t="s">
        <v>141</v>
      </c>
      <c r="D13" s="187">
        <f>D$8*SUM($J$6:$J$9)+$D$9*J5+D7</f>
        <v>70500</v>
      </c>
      <c r="E13" s="187">
        <f>E$8*SUM($J$6:$J$9)+$E$9*J5+E7</f>
        <v>25800</v>
      </c>
      <c r="F13" s="187">
        <f>IF(J8=0,0,F$8*$J$8+F7)</f>
        <v>0</v>
      </c>
      <c r="G13" s="187">
        <f>G$8*SUM($J$7:$J$9)+G7</f>
        <v>2750</v>
      </c>
      <c r="H13" s="33" t="s">
        <v>144</v>
      </c>
      <c r="I13" s="33"/>
      <c r="J13" s="33"/>
      <c r="K13" s="33"/>
      <c r="L13" s="33"/>
      <c r="M13" s="110" t="s">
        <v>142</v>
      </c>
      <c r="N13" s="187">
        <f>SUM(N7,N10)</f>
        <v>70500</v>
      </c>
      <c r="O13" s="187">
        <f>SUM(O7,O10)</f>
        <v>25800</v>
      </c>
      <c r="P13" s="187">
        <f>SUM(P7,P10)</f>
        <v>0</v>
      </c>
      <c r="Q13" s="187">
        <f>SUM(Q7,Q10)</f>
        <v>2750</v>
      </c>
      <c r="R13" s="33" t="s">
        <v>154</v>
      </c>
      <c r="T13" s="33"/>
      <c r="U13" s="35"/>
      <c r="V13" s="1"/>
    </row>
    <row r="14" spans="1:22" ht="18" customHeight="1" thickBot="1">
      <c r="A14" s="1"/>
      <c r="B14" s="32"/>
      <c r="C14" s="111" t="s">
        <v>38</v>
      </c>
      <c r="D14" s="188">
        <f>Q30</f>
        <v>61288.480000000003</v>
      </c>
      <c r="E14" s="188">
        <f>R30</f>
        <v>23217.919999999998</v>
      </c>
      <c r="F14" s="188">
        <f>S30</f>
        <v>0</v>
      </c>
      <c r="G14" s="188">
        <f>T30</f>
        <v>2134</v>
      </c>
      <c r="H14" s="37" t="s">
        <v>191</v>
      </c>
      <c r="I14" s="33"/>
      <c r="J14" s="33"/>
      <c r="K14" s="1"/>
      <c r="L14" s="1"/>
      <c r="M14" s="111" t="s">
        <v>38</v>
      </c>
      <c r="N14" s="188">
        <f>Q30</f>
        <v>61288.480000000003</v>
      </c>
      <c r="O14" s="188">
        <f>R30</f>
        <v>23217.919999999998</v>
      </c>
      <c r="P14" s="188">
        <f>S30</f>
        <v>0</v>
      </c>
      <c r="Q14" s="188">
        <f>T30</f>
        <v>2134</v>
      </c>
      <c r="R14" s="33" t="s">
        <v>199</v>
      </c>
      <c r="S14" s="33"/>
      <c r="T14" s="33"/>
      <c r="U14" s="36"/>
      <c r="V14" s="1"/>
    </row>
    <row r="15" spans="1:22" ht="18" customHeight="1" thickBot="1">
      <c r="A15" s="1"/>
      <c r="B15" s="32"/>
      <c r="C15" s="113" t="s">
        <v>50</v>
      </c>
      <c r="D15" s="189">
        <f>IF($E$40=0,SUM(D12,D14),SUM(D13:D14))</f>
        <v>141688.48000000001</v>
      </c>
      <c r="E15" s="189">
        <f>IF($E$40=0,SUM(E12,E14),SUM(E13:E14))</f>
        <v>52817.919999999998</v>
      </c>
      <c r="F15" s="190">
        <f>IF($E$40=0,SUM(F12,F14),SUM(F13:F14))</f>
        <v>0</v>
      </c>
      <c r="G15" s="189">
        <f>IF($E$40=0,SUM(G12,G14),SUM(G13:G14))</f>
        <v>5234</v>
      </c>
      <c r="H15" s="61" t="s">
        <v>77</v>
      </c>
      <c r="I15" s="1"/>
      <c r="J15" s="1"/>
      <c r="K15" s="33"/>
      <c r="L15" s="33"/>
      <c r="M15" s="113" t="s">
        <v>50</v>
      </c>
      <c r="N15" s="189">
        <f>IF($E$40=0,SUM(N12,N14),SUM(N13:N14))</f>
        <v>141688.48000000001</v>
      </c>
      <c r="O15" s="189">
        <f>IF($E$40=0,SUM(O12,O14),SUM(O13:O14))</f>
        <v>52817.919999999998</v>
      </c>
      <c r="P15" s="190">
        <f>IF($E$40=0,SUM(P12,P14),SUM(P13:P14))</f>
        <v>0</v>
      </c>
      <c r="Q15" s="192">
        <f>IF($E$40=0,SUM(Q12,Q14),SUM(Q13:Q14))</f>
        <v>5234</v>
      </c>
      <c r="R15" s="33" t="s">
        <v>81</v>
      </c>
      <c r="S15" s="33"/>
      <c r="T15" s="33"/>
      <c r="U15" s="36"/>
      <c r="V15" s="1"/>
    </row>
    <row r="16" spans="1:22" ht="18" customHeight="1" thickBot="1">
      <c r="A16" s="1"/>
      <c r="B16" s="32"/>
      <c r="C16" s="112" t="s">
        <v>51</v>
      </c>
      <c r="D16" s="191">
        <f>ROUNDDOWN(SUM(D15),-2)</f>
        <v>141600</v>
      </c>
      <c r="E16" s="191">
        <f>ROUNDDOWN(SUM(E15),-2)</f>
        <v>52800</v>
      </c>
      <c r="F16" s="191">
        <f>ROUNDDOWN(SUM(F15),-2)</f>
        <v>0</v>
      </c>
      <c r="G16" s="191">
        <f>ROUNDDOWN(SUM(G15),-2)</f>
        <v>5200</v>
      </c>
      <c r="H16" s="37" t="s">
        <v>78</v>
      </c>
      <c r="I16" s="33"/>
      <c r="J16" s="33"/>
      <c r="K16" s="15"/>
      <c r="L16" s="15"/>
      <c r="M16" s="112" t="s">
        <v>51</v>
      </c>
      <c r="N16" s="191">
        <f>ROUNDDOWN(SUM(N15),-2)</f>
        <v>141600</v>
      </c>
      <c r="O16" s="191">
        <f>ROUNDDOWN(SUM(O15),-2)</f>
        <v>52800</v>
      </c>
      <c r="P16" s="191">
        <f>ROUNDDOWN(SUM(P15),-2)</f>
        <v>0</v>
      </c>
      <c r="Q16" s="218">
        <f>ROUNDDOWN(SUM(Q15),-2)</f>
        <v>5200</v>
      </c>
      <c r="R16" s="219">
        <f>SUM(N16:Q16)</f>
        <v>199600</v>
      </c>
      <c r="S16" s="33" t="s">
        <v>82</v>
      </c>
      <c r="T16" s="33"/>
      <c r="U16" s="36"/>
      <c r="V16" s="1"/>
    </row>
    <row r="17" spans="1:22" ht="21.75" customHeight="1" thickBot="1">
      <c r="A17" s="1"/>
      <c r="B17" s="32"/>
      <c r="C17" s="58" t="s">
        <v>207</v>
      </c>
      <c r="D17" s="187">
        <f>IF(D10&lt;=D16,D10,D16)</f>
        <v>141600</v>
      </c>
      <c r="E17" s="187">
        <f>IF(E10&lt;=E16,E10,E16)</f>
        <v>52800</v>
      </c>
      <c r="F17" s="187">
        <f>IF(F10&lt;=F16,F10,F16)</f>
        <v>0</v>
      </c>
      <c r="G17" s="220">
        <f>IF(G10&lt;=G16,G10,G16)</f>
        <v>5200</v>
      </c>
      <c r="H17" s="219">
        <f>SUM(D17:G17)</f>
        <v>199600</v>
      </c>
      <c r="I17" s="15" t="s">
        <v>129</v>
      </c>
      <c r="J17" s="15"/>
      <c r="K17" s="15"/>
      <c r="L17" s="15"/>
      <c r="M17" s="15"/>
      <c r="N17" s="1"/>
      <c r="O17" s="1"/>
      <c r="P17" s="1"/>
      <c r="Q17" s="1"/>
      <c r="R17" s="1"/>
      <c r="S17" s="15"/>
      <c r="T17" s="15"/>
      <c r="U17" s="36"/>
      <c r="V17" s="1"/>
    </row>
    <row r="18" spans="1:22" ht="18" customHeight="1">
      <c r="A18" s="1"/>
      <c r="B18" s="32"/>
      <c r="C18" s="15"/>
      <c r="D18" s="56"/>
      <c r="E18" s="57"/>
      <c r="F18" s="57"/>
      <c r="G18" s="57"/>
      <c r="H18" s="57"/>
      <c r="I18" s="15"/>
      <c r="J18" s="15"/>
      <c r="K18" s="15"/>
      <c r="L18" s="15"/>
      <c r="M18" s="15"/>
      <c r="N18" s="15"/>
      <c r="O18" s="15"/>
      <c r="P18" s="15"/>
      <c r="Q18" s="15"/>
      <c r="R18" s="15"/>
      <c r="S18" s="15"/>
      <c r="T18" s="15"/>
      <c r="U18" s="36"/>
      <c r="V18" s="1"/>
    </row>
    <row r="19" spans="1:22" ht="18" customHeight="1">
      <c r="A19" s="2"/>
      <c r="B19" s="38"/>
      <c r="C19" s="296" t="s">
        <v>27</v>
      </c>
      <c r="D19" s="283" t="s">
        <v>9</v>
      </c>
      <c r="E19" s="283"/>
      <c r="F19" s="283"/>
      <c r="G19" s="283"/>
      <c r="H19" s="299" t="s">
        <v>19</v>
      </c>
      <c r="I19" s="279" t="s">
        <v>3</v>
      </c>
      <c r="J19" s="279" t="s">
        <v>17</v>
      </c>
      <c r="K19" s="279" t="s">
        <v>98</v>
      </c>
      <c r="L19" s="279" t="s">
        <v>106</v>
      </c>
      <c r="M19" s="276" t="s">
        <v>18</v>
      </c>
      <c r="N19" s="269" t="s">
        <v>24</v>
      </c>
      <c r="O19" s="270"/>
      <c r="P19" s="271"/>
      <c r="Q19" s="269" t="s">
        <v>52</v>
      </c>
      <c r="R19" s="270"/>
      <c r="S19" s="270"/>
      <c r="T19" s="271"/>
      <c r="U19" s="36"/>
      <c r="V19" s="1"/>
    </row>
    <row r="20" spans="1:22" ht="18" customHeight="1">
      <c r="A20" s="2"/>
      <c r="B20" s="38"/>
      <c r="C20" s="297"/>
      <c r="D20" s="294" t="s">
        <v>21</v>
      </c>
      <c r="E20" s="291" t="s">
        <v>36</v>
      </c>
      <c r="F20" s="292"/>
      <c r="G20" s="293"/>
      <c r="H20" s="300"/>
      <c r="I20" s="284"/>
      <c r="J20" s="284"/>
      <c r="K20" s="284"/>
      <c r="L20" s="284"/>
      <c r="M20" s="277"/>
      <c r="N20" s="276" t="s">
        <v>26</v>
      </c>
      <c r="O20" s="279" t="s">
        <v>25</v>
      </c>
      <c r="P20" s="279" t="s">
        <v>127</v>
      </c>
      <c r="Q20" s="272" t="str">
        <f>D4</f>
        <v>医療給付費</v>
      </c>
      <c r="R20" s="274" t="str">
        <f>E4</f>
        <v>後期高齢者
支　援　分</v>
      </c>
      <c r="S20" s="272" t="str">
        <f>F4</f>
        <v>介護納付金分</v>
      </c>
      <c r="T20" s="267" t="str">
        <f>G4</f>
        <v>子ども・子育て
支援納付金分</v>
      </c>
      <c r="U20" s="36"/>
      <c r="V20" s="1"/>
    </row>
    <row r="21" spans="1:22" ht="18" customHeight="1">
      <c r="A21" s="2"/>
      <c r="B21" s="38"/>
      <c r="C21" s="298"/>
      <c r="D21" s="295"/>
      <c r="E21" s="23" t="s">
        <v>4</v>
      </c>
      <c r="F21" s="23" t="s">
        <v>37</v>
      </c>
      <c r="G21" s="23" t="s">
        <v>20</v>
      </c>
      <c r="H21" s="301"/>
      <c r="I21" s="280"/>
      <c r="J21" s="280"/>
      <c r="K21" s="280"/>
      <c r="L21" s="280"/>
      <c r="M21" s="278"/>
      <c r="N21" s="278"/>
      <c r="O21" s="280"/>
      <c r="P21" s="280"/>
      <c r="Q21" s="273"/>
      <c r="R21" s="275"/>
      <c r="S21" s="273"/>
      <c r="T21" s="268"/>
      <c r="U21" s="36"/>
      <c r="V21" s="1"/>
    </row>
    <row r="22" spans="1:22" ht="18" customHeight="1">
      <c r="A22" s="2"/>
      <c r="B22" s="38"/>
      <c r="C22" s="193">
        <f>IF(試算!D27="","",INDEX($C$33:$D$40,MATCH(試算!D27,$C$33:$C$40,0),2))</f>
        <v>7</v>
      </c>
      <c r="D22" s="194">
        <f>IF(C22&gt;=6,0,所得額!$N13)</f>
        <v>0</v>
      </c>
      <c r="E22" s="195" t="str">
        <f>IF(AND($H$33&lt;=試算!I27,試算!I27&lt;=$H$34),試算!J27,"－")</f>
        <v>－</v>
      </c>
      <c r="F22" s="196" t="str">
        <f>IF(試算!I27="","",試算!I27+1)</f>
        <v/>
      </c>
      <c r="G22" s="194">
        <f t="shared" ref="G22:G29" si="1">IF(E22="－",0,D22*30/100)</f>
        <v>0</v>
      </c>
      <c r="H22" s="197">
        <f>IF(OR(C22=5,C22=7,C22=8),所得額!$N35,IF(OR(C22=3,C22=4,C22=6),所得額!$N27,0))</f>
        <v>0</v>
      </c>
      <c r="I22" s="194">
        <f>試算!G27</f>
        <v>1234954</v>
      </c>
      <c r="J22" s="194">
        <f>IF(C22&gt;=6,0,IF(E22="－",SUM(D22,H22:I22),SUM(G22:I22)))</f>
        <v>0</v>
      </c>
      <c r="K22" s="195" t="str">
        <f>IF(J22&lt;=$H$37,$I$37,IF(AND($G$38&lt;=J22,J22&lt;=$H$38),$I$38,IF(AND($G$39&lt;=J22,J22&lt;=$H$39),$I$39,IF($G$40&lt;=J22,$I$40,"-"))))</f>
        <v>A</v>
      </c>
      <c r="L22" s="194">
        <f t="shared" ref="L22:L29" si="2">INDEX($I$37:$J$40,MATCH(K22,$I$37:$I$40,0),2)</f>
        <v>430000</v>
      </c>
      <c r="M22" s="194">
        <f>IF(J22&lt;=L22,0,J22-L22)</f>
        <v>0</v>
      </c>
      <c r="N22" s="194">
        <f>IF(AND(H22&gt;150000,C22&gt;=5),150000,IF(AND(H22&lt;=150000,C22&gt;=5),H22,0))</f>
        <v>0</v>
      </c>
      <c r="O22" s="197">
        <f>IF(J22&lt;0,0,IF(C22&gt;=6,SUM(所得額!$N13,H22:I22)-N22,J22-N22))</f>
        <v>1234954</v>
      </c>
      <c r="P22" s="193">
        <f>IF(OR(所得額!N13&gt;0,H22-N22&gt;0),1,0)</f>
        <v>0</v>
      </c>
      <c r="Q22" s="198">
        <f>IF(C22&lt;=5,M22*$D$5,0)</f>
        <v>0</v>
      </c>
      <c r="R22" s="198">
        <f>IF(C22&lt;=5,M22*$E$5,0)</f>
        <v>0</v>
      </c>
      <c r="S22" s="198">
        <f>IF(C22=4,M22*$F$5,0)</f>
        <v>0</v>
      </c>
      <c r="T22" s="198">
        <f>IF(C22&lt;=5,M22*$G$5,0)</f>
        <v>0</v>
      </c>
      <c r="U22" s="36"/>
      <c r="V22" s="1"/>
    </row>
    <row r="23" spans="1:22" ht="18" customHeight="1">
      <c r="A23" s="2"/>
      <c r="B23" s="38"/>
      <c r="C23" s="193">
        <f>IF(試算!D28="","",INDEX($C$33:$D$40,MATCH(試算!D28,$C$33:$C$40,0),2))</f>
        <v>3</v>
      </c>
      <c r="D23" s="194">
        <f>IF(C23&gt;=6,0,所得額!$O13)</f>
        <v>1283600</v>
      </c>
      <c r="E23" s="195" t="str">
        <f>IF(AND($H$33&lt;=試算!I28,試算!I28&lt;=$H$34),試算!J28,"－")</f>
        <v>－</v>
      </c>
      <c r="F23" s="196" t="str">
        <f>IF(試算!I28="","",試算!I28+1)</f>
        <v/>
      </c>
      <c r="G23" s="194">
        <f t="shared" si="1"/>
        <v>0</v>
      </c>
      <c r="H23" s="197">
        <f>IF(OR(C23=5,C23=7,C23=8),所得額!$O35,IF(OR(C23=3,C23=4,C23=6),所得額!$O27,0))</f>
        <v>0</v>
      </c>
      <c r="I23" s="194">
        <f>試算!G28</f>
        <v>0</v>
      </c>
      <c r="J23" s="194">
        <f t="shared" ref="J23:J29" si="3">IF(C23&gt;=6,0,IF(E23="－",SUM(D23,H23:I23),SUM(G23:I23)))</f>
        <v>1283600</v>
      </c>
      <c r="K23" s="195" t="str">
        <f t="shared" ref="K23:K29" si="4">IF(J23&lt;=$H$37,$I$37,IF(AND($G$38&lt;=J23,J23&lt;=$H$38),$I$38,IF(AND($G$39&lt;=J23,J23&lt;=$H$39),$I$39,IF($G$40&lt;=J23,$I$40,"-"))))</f>
        <v>A</v>
      </c>
      <c r="L23" s="194">
        <f t="shared" si="2"/>
        <v>430000</v>
      </c>
      <c r="M23" s="194">
        <f t="shared" ref="M23:M29" si="5">IF(J23&lt;=L23,0,J23-L23)</f>
        <v>853600</v>
      </c>
      <c r="N23" s="194">
        <f t="shared" ref="N23:N29" si="6">IF(AND(H23&gt;150000,C23&gt;=5),150000,IF(AND(H23&lt;=150000,C23&gt;=5),H23,0))</f>
        <v>0</v>
      </c>
      <c r="O23" s="197">
        <f>IF(J23&lt;0,0,IF(C23&gt;=6,SUM(所得額!$O13,H23:I23)-N23,J23-N23))</f>
        <v>1283600</v>
      </c>
      <c r="P23" s="193">
        <f>IF(OR(所得額!O13&gt;0,H23-N23&gt;0),1,0)</f>
        <v>1</v>
      </c>
      <c r="Q23" s="198">
        <f t="shared" ref="Q23:Q29" si="7">IF(C23&lt;=5,M23*$D$5,0)</f>
        <v>61288.480000000003</v>
      </c>
      <c r="R23" s="198">
        <f t="shared" ref="R23:R29" si="8">IF(C23&lt;=5,M23*$E$5,0)</f>
        <v>23217.919999999998</v>
      </c>
      <c r="S23" s="198">
        <f t="shared" ref="S23:S29" si="9">IF(C23=4,M23*$F$5,0)</f>
        <v>0</v>
      </c>
      <c r="T23" s="198">
        <f t="shared" ref="T23:T29" si="10">IF(C23&lt;=5,M23*$G$5,0)</f>
        <v>2134</v>
      </c>
      <c r="U23" s="36"/>
      <c r="V23" s="1"/>
    </row>
    <row r="24" spans="1:22" ht="18" customHeight="1">
      <c r="A24" s="2"/>
      <c r="B24" s="38"/>
      <c r="C24" s="193">
        <f>IF(試算!D29="","",INDEX($C$33:$D$40,MATCH(試算!D29,$C$33:$C$40,0),2))</f>
        <v>5</v>
      </c>
      <c r="D24" s="194">
        <f>IF(C24&gt;=6,0,所得額!$P13)</f>
        <v>0</v>
      </c>
      <c r="E24" s="195" t="str">
        <f>IF(AND($H$33&lt;=試算!I29,試算!I29&lt;=$H$34),試算!J29,"－")</f>
        <v>－</v>
      </c>
      <c r="F24" s="196" t="str">
        <f>IF(試算!I29="","",試算!I29+1)</f>
        <v/>
      </c>
      <c r="G24" s="194">
        <f t="shared" si="1"/>
        <v>0</v>
      </c>
      <c r="H24" s="197">
        <f>IF(OR(C24=5,C24=7,C24=8),所得額!$P35,IF(OR(C24=3,C24=4,C24=6),所得額!$P27,0))</f>
        <v>0</v>
      </c>
      <c r="I24" s="194">
        <f>試算!G29</f>
        <v>0</v>
      </c>
      <c r="J24" s="194">
        <f t="shared" si="3"/>
        <v>0</v>
      </c>
      <c r="K24" s="195" t="str">
        <f t="shared" si="4"/>
        <v>A</v>
      </c>
      <c r="L24" s="194">
        <f t="shared" si="2"/>
        <v>430000</v>
      </c>
      <c r="M24" s="194">
        <f t="shared" si="5"/>
        <v>0</v>
      </c>
      <c r="N24" s="194">
        <f t="shared" si="6"/>
        <v>0</v>
      </c>
      <c r="O24" s="197">
        <f>IF(J24&lt;0,0,IF(C24&gt;=6,SUM(所得額!$P13,H24:I24)-N24,J24-N24))</f>
        <v>0</v>
      </c>
      <c r="P24" s="193">
        <f>IF(OR(所得額!P13&gt;0,H24-N24&gt;0),1,0)</f>
        <v>0</v>
      </c>
      <c r="Q24" s="198">
        <f t="shared" si="7"/>
        <v>0</v>
      </c>
      <c r="R24" s="198">
        <f t="shared" si="8"/>
        <v>0</v>
      </c>
      <c r="S24" s="198">
        <f t="shared" si="9"/>
        <v>0</v>
      </c>
      <c r="T24" s="198">
        <f t="shared" si="10"/>
        <v>0</v>
      </c>
      <c r="U24" s="36"/>
      <c r="V24" s="1"/>
    </row>
    <row r="25" spans="1:22" ht="18" customHeight="1">
      <c r="A25" s="2"/>
      <c r="B25" s="38"/>
      <c r="C25" s="193" t="str">
        <f>IF(試算!D30="","",INDEX($C$33:$D$40,MATCH(試算!D30,$C$33:$C$40,0),2))</f>
        <v/>
      </c>
      <c r="D25" s="194">
        <f>IF(C25&gt;=6,0,所得額!$Q13)</f>
        <v>0</v>
      </c>
      <c r="E25" s="195" t="str">
        <f>IF(AND($H$33&lt;=試算!I30,試算!I30&lt;=$H$34),試算!J30,"－")</f>
        <v>－</v>
      </c>
      <c r="F25" s="196" t="str">
        <f>IF(試算!I30="","",試算!I30+1)</f>
        <v/>
      </c>
      <c r="G25" s="194">
        <f t="shared" si="1"/>
        <v>0</v>
      </c>
      <c r="H25" s="197">
        <f>IF(OR(C25=5,C25=7,C25=8),所得額!$Q35,IF(OR(C25=3,C25=4,C25=6),所得額!$Q27,0))</f>
        <v>0</v>
      </c>
      <c r="I25" s="194">
        <f>試算!G30</f>
        <v>0</v>
      </c>
      <c r="J25" s="194">
        <f t="shared" si="3"/>
        <v>0</v>
      </c>
      <c r="K25" s="195" t="str">
        <f t="shared" si="4"/>
        <v>A</v>
      </c>
      <c r="L25" s="194">
        <f t="shared" si="2"/>
        <v>430000</v>
      </c>
      <c r="M25" s="194">
        <f t="shared" si="5"/>
        <v>0</v>
      </c>
      <c r="N25" s="194">
        <f t="shared" si="6"/>
        <v>0</v>
      </c>
      <c r="O25" s="197">
        <f>IF(J25&lt;0,0,IF(C25&gt;=6,SUM(所得額!$Q13,H25:I25)-N25,J25-N25))</f>
        <v>0</v>
      </c>
      <c r="P25" s="193">
        <f>IF(OR(所得額!Q13&gt;0,H25-N25&gt;0),1,0)</f>
        <v>0</v>
      </c>
      <c r="Q25" s="198">
        <f t="shared" si="7"/>
        <v>0</v>
      </c>
      <c r="R25" s="198">
        <f t="shared" si="8"/>
        <v>0</v>
      </c>
      <c r="S25" s="198">
        <f t="shared" si="9"/>
        <v>0</v>
      </c>
      <c r="T25" s="198">
        <f t="shared" si="10"/>
        <v>0</v>
      </c>
      <c r="U25" s="36"/>
      <c r="V25" s="1"/>
    </row>
    <row r="26" spans="1:22" ht="18" customHeight="1">
      <c r="A26" s="2"/>
      <c r="B26" s="38"/>
      <c r="C26" s="193" t="str">
        <f>IF(試算!D31="","",INDEX($C$33:$D$40,MATCH(試算!D31,$C$33:$C$40,0),2))</f>
        <v/>
      </c>
      <c r="D26" s="194">
        <f>IF(C26&gt;=6,0,所得額!$R13)</f>
        <v>0</v>
      </c>
      <c r="E26" s="195" t="str">
        <f>IF(AND($H$33&lt;=試算!I31,試算!I31&lt;=$H$34),試算!J31,"－")</f>
        <v>－</v>
      </c>
      <c r="F26" s="196" t="str">
        <f>IF(試算!I31="","",試算!I31+1)</f>
        <v/>
      </c>
      <c r="G26" s="194">
        <f t="shared" si="1"/>
        <v>0</v>
      </c>
      <c r="H26" s="197">
        <f>IF(OR(C26=5,C26=7,C26=8),所得額!$R35,IF(OR(C26=3,C26=4,C26=6),所得額!$R27,0))</f>
        <v>0</v>
      </c>
      <c r="I26" s="194">
        <f>試算!G31</f>
        <v>0</v>
      </c>
      <c r="J26" s="194">
        <f t="shared" si="3"/>
        <v>0</v>
      </c>
      <c r="K26" s="195" t="str">
        <f t="shared" si="4"/>
        <v>A</v>
      </c>
      <c r="L26" s="194">
        <f t="shared" si="2"/>
        <v>430000</v>
      </c>
      <c r="M26" s="194">
        <f t="shared" si="5"/>
        <v>0</v>
      </c>
      <c r="N26" s="194">
        <f t="shared" si="6"/>
        <v>0</v>
      </c>
      <c r="O26" s="197">
        <f>IF(J26&lt;0,0,IF(C26&gt;=6,SUM(所得額!$R13,H26:I26)-N26,J26-N26))</f>
        <v>0</v>
      </c>
      <c r="P26" s="193">
        <f>IF(OR(所得額!R13&gt;0,H26-N26&gt;0),1,0)</f>
        <v>0</v>
      </c>
      <c r="Q26" s="198">
        <f t="shared" si="7"/>
        <v>0</v>
      </c>
      <c r="R26" s="198">
        <f t="shared" si="8"/>
        <v>0</v>
      </c>
      <c r="S26" s="198">
        <f t="shared" si="9"/>
        <v>0</v>
      </c>
      <c r="T26" s="198">
        <f t="shared" si="10"/>
        <v>0</v>
      </c>
      <c r="U26" s="36"/>
      <c r="V26" s="1"/>
    </row>
    <row r="27" spans="1:22" ht="18" customHeight="1">
      <c r="A27" s="2"/>
      <c r="B27" s="38"/>
      <c r="C27" s="193" t="str">
        <f>IF(試算!D32="","",INDEX($C$33:$D$40,MATCH(試算!D32,$C$33:$C$40,0),2))</f>
        <v/>
      </c>
      <c r="D27" s="194">
        <f>IF(C27&gt;=6,0,所得額!$S13)</f>
        <v>0</v>
      </c>
      <c r="E27" s="195" t="str">
        <f>IF(AND($H$33&lt;=試算!I32,試算!I32&lt;=$H$34),試算!J32,"－")</f>
        <v>－</v>
      </c>
      <c r="F27" s="196" t="str">
        <f>IF(試算!I32="","",試算!I32+1)</f>
        <v/>
      </c>
      <c r="G27" s="194">
        <f t="shared" si="1"/>
        <v>0</v>
      </c>
      <c r="H27" s="197">
        <f>IF(OR(C27=5,C27=7,C27=8),所得額!$S35,IF(OR(C27=3,C27=4,C27=6),所得額!$S27,0))</f>
        <v>0</v>
      </c>
      <c r="I27" s="194">
        <f>試算!G32</f>
        <v>0</v>
      </c>
      <c r="J27" s="194">
        <f t="shared" si="3"/>
        <v>0</v>
      </c>
      <c r="K27" s="195" t="str">
        <f t="shared" si="4"/>
        <v>A</v>
      </c>
      <c r="L27" s="194">
        <f t="shared" si="2"/>
        <v>430000</v>
      </c>
      <c r="M27" s="194">
        <f t="shared" si="5"/>
        <v>0</v>
      </c>
      <c r="N27" s="194">
        <f t="shared" si="6"/>
        <v>0</v>
      </c>
      <c r="O27" s="197">
        <f>IF(J27&lt;0,0,IF(C27&gt;=6,SUM(所得額!$S13,H27:I27)-N27,J27-N27))</f>
        <v>0</v>
      </c>
      <c r="P27" s="193">
        <f>IF(OR(O27&gt;0,所得額!S13-N27&gt;0),1,0)</f>
        <v>0</v>
      </c>
      <c r="Q27" s="198">
        <f t="shared" si="7"/>
        <v>0</v>
      </c>
      <c r="R27" s="198">
        <f t="shared" si="8"/>
        <v>0</v>
      </c>
      <c r="S27" s="198">
        <f t="shared" si="9"/>
        <v>0</v>
      </c>
      <c r="T27" s="198">
        <f t="shared" si="10"/>
        <v>0</v>
      </c>
      <c r="U27" s="36"/>
      <c r="V27" s="1"/>
    </row>
    <row r="28" spans="1:22" ht="18" customHeight="1">
      <c r="A28" s="2"/>
      <c r="B28" s="38"/>
      <c r="C28" s="193" t="str">
        <f>IF(試算!D33="","",INDEX($C$33:$D$40,MATCH(試算!D33,$C$33:$C$40,0),2))</f>
        <v/>
      </c>
      <c r="D28" s="194">
        <f>IF(C28&gt;=6,0,所得額!$T13)</f>
        <v>0</v>
      </c>
      <c r="E28" s="195" t="str">
        <f>IF(AND($H$33&lt;=試算!I33,試算!I33&lt;=$H$34),試算!J33,"－")</f>
        <v>－</v>
      </c>
      <c r="F28" s="196" t="str">
        <f>IF(試算!I33="","",試算!I33+1)</f>
        <v/>
      </c>
      <c r="G28" s="194">
        <f t="shared" si="1"/>
        <v>0</v>
      </c>
      <c r="H28" s="197">
        <f>IF(OR(C28=5,C28=7,C28=8),所得額!$T35,IF(OR(C28=3,C28=4,C28=6),所得額!$T27,0))</f>
        <v>0</v>
      </c>
      <c r="I28" s="194">
        <f>試算!G33</f>
        <v>0</v>
      </c>
      <c r="J28" s="194">
        <f t="shared" si="3"/>
        <v>0</v>
      </c>
      <c r="K28" s="195" t="str">
        <f t="shared" si="4"/>
        <v>A</v>
      </c>
      <c r="L28" s="194">
        <f t="shared" si="2"/>
        <v>430000</v>
      </c>
      <c r="M28" s="194">
        <f t="shared" si="5"/>
        <v>0</v>
      </c>
      <c r="N28" s="194">
        <f t="shared" si="6"/>
        <v>0</v>
      </c>
      <c r="O28" s="197">
        <f>IF(J28&lt;0,0,IF(C28&gt;=6,SUM(所得額!$T13,H28:I28)-N28,J28-N28))</f>
        <v>0</v>
      </c>
      <c r="P28" s="193">
        <f>IF(OR(所得額!T13&gt;0,H28-N28&gt;0),1,0)</f>
        <v>0</v>
      </c>
      <c r="Q28" s="198">
        <f t="shared" si="7"/>
        <v>0</v>
      </c>
      <c r="R28" s="198">
        <f t="shared" si="8"/>
        <v>0</v>
      </c>
      <c r="S28" s="198">
        <f t="shared" si="9"/>
        <v>0</v>
      </c>
      <c r="T28" s="198">
        <f t="shared" si="10"/>
        <v>0</v>
      </c>
      <c r="U28" s="36"/>
      <c r="V28" s="1"/>
    </row>
    <row r="29" spans="1:22" ht="18" customHeight="1" thickBot="1">
      <c r="A29" s="2"/>
      <c r="B29" s="38"/>
      <c r="C29" s="193" t="str">
        <f>IF(試算!D34="","",INDEX($C$33:$D$40,MATCH(試算!D34,$C$33:$C$40,0),2))</f>
        <v/>
      </c>
      <c r="D29" s="194">
        <f>IF(C29&gt;=6,0,所得額!$U13)</f>
        <v>0</v>
      </c>
      <c r="E29" s="195" t="str">
        <f>IF(AND($H$33&lt;=試算!I34,試算!I34&lt;=$H$34),試算!J34,"－")</f>
        <v>－</v>
      </c>
      <c r="F29" s="196" t="str">
        <f>IF(試算!I34="","",試算!I34+1)</f>
        <v/>
      </c>
      <c r="G29" s="194">
        <f t="shared" si="1"/>
        <v>0</v>
      </c>
      <c r="H29" s="197">
        <f>IF(OR(C29=5,C29=7,C29=8),所得額!$U35,IF(OR(C29=3,C29=4,C29=6),所得額!$U27,0))</f>
        <v>0</v>
      </c>
      <c r="I29" s="194">
        <f>試算!G34</f>
        <v>0</v>
      </c>
      <c r="J29" s="194">
        <f t="shared" si="3"/>
        <v>0</v>
      </c>
      <c r="K29" s="195" t="str">
        <f t="shared" si="4"/>
        <v>A</v>
      </c>
      <c r="L29" s="194">
        <f t="shared" si="2"/>
        <v>430000</v>
      </c>
      <c r="M29" s="203">
        <f t="shared" si="5"/>
        <v>0</v>
      </c>
      <c r="N29" s="194">
        <f t="shared" si="6"/>
        <v>0</v>
      </c>
      <c r="O29" s="197">
        <f>IF(J29&lt;0,0,IF(C29&gt;=6,SUM(所得額!$U13,H29:I29)-N29,J29-N29))</f>
        <v>0</v>
      </c>
      <c r="P29" s="199">
        <f>IF(OR(所得額!U13&gt;0,H29-N29&gt;0),1,0)</f>
        <v>0</v>
      </c>
      <c r="Q29" s="198">
        <f t="shared" si="7"/>
        <v>0</v>
      </c>
      <c r="R29" s="198">
        <f t="shared" si="8"/>
        <v>0</v>
      </c>
      <c r="S29" s="198">
        <f t="shared" si="9"/>
        <v>0</v>
      </c>
      <c r="T29" s="198">
        <f t="shared" si="10"/>
        <v>0</v>
      </c>
      <c r="U29" s="36"/>
      <c r="V29" s="1"/>
    </row>
    <row r="30" spans="1:22" ht="18" customHeight="1" thickBot="1">
      <c r="A30" s="2"/>
      <c r="B30" s="38"/>
      <c r="C30" s="7"/>
      <c r="E30" s="105"/>
      <c r="F30" s="105"/>
      <c r="G30" s="59" t="s">
        <v>66</v>
      </c>
      <c r="I30" s="59"/>
      <c r="J30" s="59"/>
      <c r="K30" s="59"/>
      <c r="L30" s="59"/>
      <c r="M30" s="200">
        <f>SUM(M22:M29)</f>
        <v>853600</v>
      </c>
      <c r="N30" s="59"/>
      <c r="O30" s="200">
        <f>SUM(O22:O29)</f>
        <v>2518554</v>
      </c>
      <c r="P30" s="201">
        <f>COUNTIF($P$22:$P$29,"&gt;0")</f>
        <v>1</v>
      </c>
      <c r="Q30" s="202">
        <f>SUM(Q22:Q29)</f>
        <v>61288.480000000003</v>
      </c>
      <c r="R30" s="202">
        <f>SUM(R22:R29)</f>
        <v>23217.919999999998</v>
      </c>
      <c r="S30" s="202">
        <f>SUM(S22:S29)</f>
        <v>0</v>
      </c>
      <c r="T30" s="202">
        <f>SUM(T22:T29)</f>
        <v>2134</v>
      </c>
      <c r="U30" s="36"/>
      <c r="V30" s="1"/>
    </row>
    <row r="31" spans="1:22" ht="18" customHeight="1">
      <c r="A31" s="2"/>
      <c r="B31" s="38"/>
      <c r="C31" s="15"/>
      <c r="D31" s="15"/>
      <c r="E31" s="15"/>
      <c r="F31" s="15"/>
      <c r="G31" s="15"/>
      <c r="H31" s="15"/>
      <c r="I31" s="15"/>
      <c r="J31" s="15"/>
      <c r="K31" s="15"/>
      <c r="L31" s="15"/>
      <c r="M31" s="60" t="s">
        <v>79</v>
      </c>
      <c r="N31" s="60"/>
      <c r="O31" s="60" t="s">
        <v>74</v>
      </c>
      <c r="P31" s="60" t="s">
        <v>130</v>
      </c>
      <c r="Q31" s="60" t="s">
        <v>75</v>
      </c>
      <c r="R31" s="60" t="s">
        <v>76</v>
      </c>
      <c r="S31" s="60" t="s">
        <v>131</v>
      </c>
      <c r="T31" s="216" t="s">
        <v>190</v>
      </c>
      <c r="U31" s="36"/>
      <c r="V31" s="1"/>
    </row>
    <row r="32" spans="1:22" ht="18" customHeight="1" thickBot="1">
      <c r="A32" s="2"/>
      <c r="B32" s="38"/>
      <c r="C32" s="288" t="s">
        <v>33</v>
      </c>
      <c r="D32" s="289"/>
      <c r="E32" s="290"/>
      <c r="F32" s="17"/>
      <c r="G32" s="287" t="s">
        <v>188</v>
      </c>
      <c r="H32" s="287"/>
      <c r="I32" s="1"/>
      <c r="J32" s="15"/>
      <c r="K32" s="15"/>
      <c r="L32" s="15"/>
      <c r="M32" s="281" t="s">
        <v>118</v>
      </c>
      <c r="N32" s="282"/>
      <c r="O32" s="63"/>
      <c r="P32" s="63"/>
      <c r="Q32" s="63"/>
      <c r="R32" s="63"/>
      <c r="S32" s="64"/>
      <c r="T32" s="78"/>
      <c r="U32" s="36"/>
      <c r="V32" s="1"/>
    </row>
    <row r="33" spans="1:22" ht="18" customHeight="1">
      <c r="A33" s="2"/>
      <c r="B33" s="38"/>
      <c r="C33" s="24" t="s">
        <v>148</v>
      </c>
      <c r="D33" s="11">
        <v>1</v>
      </c>
      <c r="E33" s="208">
        <f>COUNTIF(試算!$D$27:$D$34,C33)</f>
        <v>0</v>
      </c>
      <c r="F33" s="7"/>
      <c r="G33" s="24" t="s">
        <v>22</v>
      </c>
      <c r="H33" s="13">
        <v>45747</v>
      </c>
      <c r="I33" s="1"/>
      <c r="J33" s="15"/>
      <c r="K33" s="15"/>
      <c r="L33" s="15"/>
      <c r="M33" s="30"/>
      <c r="N33" s="30" t="s">
        <v>46</v>
      </c>
      <c r="O33" s="24" t="s">
        <v>48</v>
      </c>
      <c r="P33" s="24" t="s">
        <v>168</v>
      </c>
      <c r="Q33" s="65" t="s">
        <v>127</v>
      </c>
      <c r="R33" s="24" t="s">
        <v>47</v>
      </c>
      <c r="S33" s="24" t="s">
        <v>49</v>
      </c>
      <c r="T33" s="79"/>
      <c r="U33" s="36"/>
      <c r="V33" s="1"/>
    </row>
    <row r="34" spans="1:22" ht="18" customHeight="1">
      <c r="A34" s="2"/>
      <c r="B34" s="38"/>
      <c r="C34" s="21" t="s">
        <v>186</v>
      </c>
      <c r="D34" s="11">
        <v>2</v>
      </c>
      <c r="E34" s="209">
        <f>COUNTIF(試算!$D$27:$D$34,C34)</f>
        <v>0</v>
      </c>
      <c r="F34" s="7"/>
      <c r="G34" s="30" t="s">
        <v>23</v>
      </c>
      <c r="H34" s="13">
        <v>46476</v>
      </c>
      <c r="I34" s="1"/>
      <c r="J34" s="15"/>
      <c r="K34" s="15"/>
      <c r="L34" s="15"/>
      <c r="M34" s="26">
        <v>7</v>
      </c>
      <c r="N34" s="9">
        <v>430000</v>
      </c>
      <c r="O34" s="14" t="s">
        <v>31</v>
      </c>
      <c r="P34" s="9">
        <v>100000</v>
      </c>
      <c r="Q34" s="204">
        <f>IF(SUM(D30,P30)&lt;0,0,MAX(D30,P30))</f>
        <v>1</v>
      </c>
      <c r="R34" s="205">
        <f>IF(Q34=0,N34,N34+P34*(Q34-1))</f>
        <v>430000</v>
      </c>
      <c r="S34" s="206" t="str">
        <f>IF(C22="",0,IF(R34&gt;=O30,M34,"－"))</f>
        <v>－</v>
      </c>
      <c r="T34" s="80"/>
      <c r="U34" s="36"/>
      <c r="V34" s="1"/>
    </row>
    <row r="35" spans="1:22" ht="18" customHeight="1">
      <c r="A35" s="2"/>
      <c r="B35" s="38"/>
      <c r="C35" s="24" t="s">
        <v>187</v>
      </c>
      <c r="D35" s="11">
        <v>3</v>
      </c>
      <c r="E35" s="209">
        <f>COUNTIF(試算!$D$27:$D$34,C35)</f>
        <v>1</v>
      </c>
      <c r="F35" s="7"/>
      <c r="G35" s="15"/>
      <c r="H35" s="40"/>
      <c r="I35" s="15"/>
      <c r="J35" s="15"/>
      <c r="K35" s="15"/>
      <c r="L35" s="15"/>
      <c r="M35" s="26">
        <v>5</v>
      </c>
      <c r="N35" s="205">
        <f>N$34</f>
        <v>430000</v>
      </c>
      <c r="O35" s="118">
        <v>310000</v>
      </c>
      <c r="P35" s="205">
        <f>P$34</f>
        <v>100000</v>
      </c>
      <c r="Q35" s="205">
        <f>Q$34</f>
        <v>1</v>
      </c>
      <c r="R35" s="205">
        <f>IF(Q35=0,N35+O35*E41,N35+E41*O35+P35*(Q35-1))</f>
        <v>1050000</v>
      </c>
      <c r="S35" s="206" t="str">
        <f>IF(AND(R34&lt;O30,R35&gt;=$O$30),M35,"－")</f>
        <v>－</v>
      </c>
      <c r="T35" s="80"/>
      <c r="U35" s="36"/>
      <c r="V35" s="1"/>
    </row>
    <row r="36" spans="1:22" ht="18" customHeight="1">
      <c r="A36" s="2"/>
      <c r="B36" s="38"/>
      <c r="C36" s="24" t="s">
        <v>28</v>
      </c>
      <c r="D36" s="11">
        <v>4</v>
      </c>
      <c r="E36" s="210">
        <f>COUNTIF(試算!$D$27:$D$34,C36)</f>
        <v>0</v>
      </c>
      <c r="F36" s="7"/>
      <c r="G36" s="285" t="s">
        <v>105</v>
      </c>
      <c r="H36" s="286"/>
      <c r="I36" s="8" t="s">
        <v>100</v>
      </c>
      <c r="J36" s="8" t="s">
        <v>99</v>
      </c>
      <c r="K36" s="15"/>
      <c r="L36" s="15"/>
      <c r="M36" s="26">
        <v>2</v>
      </c>
      <c r="N36" s="205">
        <f>N$34</f>
        <v>430000</v>
      </c>
      <c r="O36" s="118">
        <v>570000</v>
      </c>
      <c r="P36" s="205">
        <f>P$34</f>
        <v>100000</v>
      </c>
      <c r="Q36" s="205">
        <f>Q$34</f>
        <v>1</v>
      </c>
      <c r="R36" s="205">
        <f>IF(Q36=0,N36+O36*E41,N36+E41*O36+P36*(Q36-1))</f>
        <v>1570000</v>
      </c>
      <c r="S36" s="206" t="str">
        <f>IF(AND(R35&lt;O30,R36&gt;=$O$30),M36,"－")</f>
        <v>－</v>
      </c>
      <c r="T36" s="80"/>
      <c r="U36" s="36"/>
      <c r="V36" s="1"/>
    </row>
    <row r="37" spans="1:22" ht="18" customHeight="1" thickBot="1">
      <c r="A37" s="2"/>
      <c r="B37" s="38"/>
      <c r="C37" s="24" t="s">
        <v>29</v>
      </c>
      <c r="D37" s="12">
        <v>5</v>
      </c>
      <c r="E37" s="211">
        <f>COUNTIF(試算!$D$27:$D$34,C37)</f>
        <v>1</v>
      </c>
      <c r="F37" s="7"/>
      <c r="G37" s="45">
        <v>0</v>
      </c>
      <c r="H37" s="44">
        <v>24000000</v>
      </c>
      <c r="I37" s="14" t="s">
        <v>101</v>
      </c>
      <c r="J37" s="9">
        <v>430000</v>
      </c>
      <c r="K37" s="15"/>
      <c r="L37" s="15"/>
      <c r="M37" s="15"/>
      <c r="N37" s="15"/>
      <c r="O37" s="15"/>
      <c r="Q37" s="7" t="s">
        <v>130</v>
      </c>
      <c r="R37" s="15"/>
      <c r="S37" s="15"/>
      <c r="T37" s="15"/>
      <c r="U37" s="36"/>
      <c r="V37" s="1"/>
    </row>
    <row r="38" spans="1:22" ht="18" customHeight="1">
      <c r="A38" s="2"/>
      <c r="B38" s="38"/>
      <c r="C38" s="25" t="s">
        <v>30</v>
      </c>
      <c r="D38" s="10">
        <v>6</v>
      </c>
      <c r="E38" s="212">
        <f>COUNTIF(試算!$D$27:$D$34,C38)</f>
        <v>0</v>
      </c>
      <c r="F38" s="7"/>
      <c r="G38" s="207">
        <f>H37+1</f>
        <v>24000001</v>
      </c>
      <c r="H38" s="44">
        <v>24500000</v>
      </c>
      <c r="I38" s="14" t="s">
        <v>102</v>
      </c>
      <c r="J38" s="9">
        <v>290000</v>
      </c>
      <c r="K38" s="15"/>
      <c r="L38" s="15"/>
      <c r="M38" s="15"/>
      <c r="N38" s="15"/>
      <c r="O38" s="15"/>
      <c r="P38" s="15"/>
      <c r="Q38" s="15" t="s">
        <v>128</v>
      </c>
      <c r="R38" s="15"/>
      <c r="S38" s="15"/>
      <c r="T38" s="15"/>
      <c r="U38" s="36"/>
      <c r="V38" s="1"/>
    </row>
    <row r="39" spans="1:22" ht="18" customHeight="1" thickBot="1">
      <c r="A39" s="2"/>
      <c r="B39" s="38"/>
      <c r="C39" s="25" t="s">
        <v>137</v>
      </c>
      <c r="D39" s="10">
        <v>7</v>
      </c>
      <c r="E39" s="213">
        <f>COUNTIF(試算!$D$27:$D$34,C39)</f>
        <v>1</v>
      </c>
      <c r="F39" s="7"/>
      <c r="G39" s="207">
        <f>H38+1</f>
        <v>24500001</v>
      </c>
      <c r="H39" s="44">
        <v>25000000</v>
      </c>
      <c r="I39" s="14" t="s">
        <v>103</v>
      </c>
      <c r="J39" s="9">
        <v>150000</v>
      </c>
      <c r="K39" s="15"/>
      <c r="L39" s="15"/>
      <c r="M39" s="15"/>
      <c r="N39" s="15"/>
      <c r="O39" s="15"/>
      <c r="P39" s="15"/>
      <c r="Q39" s="15"/>
      <c r="R39" s="15"/>
      <c r="S39" s="15"/>
      <c r="T39" s="15"/>
      <c r="U39" s="36"/>
      <c r="V39" s="1"/>
    </row>
    <row r="40" spans="1:22" ht="18" customHeight="1" thickBot="1">
      <c r="A40" s="2"/>
      <c r="B40" s="38"/>
      <c r="C40" s="25" t="s">
        <v>139</v>
      </c>
      <c r="D40" s="12">
        <v>8</v>
      </c>
      <c r="E40" s="214">
        <f>COUNTIF(試算!$D$27:$D$34,C40)</f>
        <v>0</v>
      </c>
      <c r="F40" s="7"/>
      <c r="G40" s="207">
        <f>H39+1</f>
        <v>25000001</v>
      </c>
      <c r="H40" s="44"/>
      <c r="I40" s="14" t="s">
        <v>104</v>
      </c>
      <c r="J40" s="9">
        <v>0</v>
      </c>
      <c r="K40" s="15"/>
      <c r="L40" s="15"/>
      <c r="M40" s="15"/>
      <c r="N40" s="15"/>
      <c r="O40" s="15"/>
      <c r="P40" s="15"/>
      <c r="Q40" s="15"/>
      <c r="R40" s="15"/>
      <c r="S40" s="15"/>
      <c r="T40" s="15"/>
      <c r="U40" s="36"/>
      <c r="V40" s="1"/>
    </row>
    <row r="41" spans="1:22" ht="18" customHeight="1">
      <c r="A41" s="1"/>
      <c r="B41" s="32"/>
      <c r="C41" s="15"/>
      <c r="D41" s="16"/>
      <c r="E41" s="212">
        <f>SUM(E33:E37,E40)</f>
        <v>2</v>
      </c>
      <c r="F41" s="15"/>
      <c r="G41" s="15"/>
      <c r="H41" s="15"/>
      <c r="I41" s="15"/>
      <c r="J41" s="15"/>
      <c r="K41" s="15"/>
      <c r="L41" s="15"/>
      <c r="M41" s="15"/>
      <c r="N41" s="15"/>
      <c r="O41" s="15"/>
      <c r="P41" s="15"/>
      <c r="Q41" s="15"/>
      <c r="R41" s="15"/>
      <c r="S41" s="15"/>
      <c r="T41" s="15"/>
      <c r="U41" s="36"/>
      <c r="V41" s="1"/>
    </row>
    <row r="42" spans="1:22" ht="18" customHeight="1" thickBot="1">
      <c r="A42" s="1"/>
      <c r="B42" s="41"/>
      <c r="C42" s="15"/>
      <c r="D42" s="16"/>
      <c r="E42" s="60" t="s">
        <v>132</v>
      </c>
      <c r="F42" s="42"/>
      <c r="G42" s="42"/>
      <c r="H42" s="42"/>
      <c r="I42" s="42"/>
      <c r="J42" s="42"/>
      <c r="K42" s="42"/>
      <c r="L42" s="42"/>
      <c r="M42" s="42"/>
      <c r="N42" s="42"/>
      <c r="O42" s="42"/>
      <c r="P42" s="42"/>
      <c r="Q42" s="42"/>
      <c r="R42" s="42"/>
      <c r="S42" s="42"/>
      <c r="T42" s="42"/>
      <c r="U42" s="43"/>
      <c r="V42" s="1"/>
    </row>
    <row r="43" spans="1:22" ht="9.75" customHeight="1">
      <c r="C43" s="31"/>
      <c r="D43" s="31"/>
      <c r="E43" s="31"/>
    </row>
    <row r="44" spans="1:22" ht="18" customHeight="1">
      <c r="C44" s="15"/>
      <c r="D44" s="15"/>
      <c r="E44" s="15"/>
    </row>
    <row r="45" spans="1:22" ht="18" customHeight="1">
      <c r="C45" s="234" t="str">
        <f>C33</f>
        <v>0～未就学児</v>
      </c>
    </row>
    <row r="46" spans="1:22" ht="18" customHeight="1">
      <c r="C46" s="235" t="str">
        <f t="shared" ref="C46:C49" si="11">C34</f>
        <v>小学生～高校生</v>
      </c>
    </row>
    <row r="47" spans="1:22" ht="18" customHeight="1">
      <c r="C47" s="234" t="str">
        <f t="shared" si="11"/>
        <v>19～39</v>
      </c>
    </row>
    <row r="48" spans="1:22" ht="18" customHeight="1">
      <c r="C48" s="234" t="str">
        <f t="shared" si="11"/>
        <v>40～64</v>
      </c>
    </row>
    <row r="49" spans="3:3" ht="18" customHeight="1">
      <c r="C49" s="234" t="str">
        <f t="shared" si="11"/>
        <v>65～74</v>
      </c>
    </row>
    <row r="50" spans="3:3" ht="18" customHeight="1">
      <c r="C50" s="236" t="str">
        <f>C40</f>
        <v>後期高齢加入中 (特同該当)</v>
      </c>
    </row>
  </sheetData>
  <mergeCells count="23">
    <mergeCell ref="D19:G19"/>
    <mergeCell ref="K19:K21"/>
    <mergeCell ref="G36:H36"/>
    <mergeCell ref="L19:L21"/>
    <mergeCell ref="G32:H32"/>
    <mergeCell ref="C32:E32"/>
    <mergeCell ref="E20:G20"/>
    <mergeCell ref="D20:D21"/>
    <mergeCell ref="C19:C21"/>
    <mergeCell ref="H19:H21"/>
    <mergeCell ref="I19:I21"/>
    <mergeCell ref="J19:J21"/>
    <mergeCell ref="M19:M21"/>
    <mergeCell ref="N20:N21"/>
    <mergeCell ref="O20:O21"/>
    <mergeCell ref="M32:N32"/>
    <mergeCell ref="N19:P19"/>
    <mergeCell ref="P20:P21"/>
    <mergeCell ref="T20:T21"/>
    <mergeCell ref="Q19:T19"/>
    <mergeCell ref="Q20:Q21"/>
    <mergeCell ref="R20:R21"/>
    <mergeCell ref="S20:S21"/>
  </mergeCells>
  <phoneticPr fontId="2"/>
  <printOptions horizontalCentered="1"/>
  <pageMargins left="0.39370078740157483" right="0.39370078740157483" top="0.70866141732283472" bottom="0.39370078740157483" header="0.59055118110236227" footer="0.19685039370078741"/>
  <pageSetup paperSize="9" scale="73"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Z45"/>
  <sheetViews>
    <sheetView view="pageBreakPreview" zoomScale="92" zoomScaleNormal="100" zoomScaleSheetLayoutView="92" workbookViewId="0">
      <selection activeCell="O23" sqref="O23"/>
    </sheetView>
  </sheetViews>
  <sheetFormatPr defaultColWidth="9" defaultRowHeight="22.5" customHeight="1"/>
  <cols>
    <col min="1" max="1" width="3.6640625" style="3" customWidth="1"/>
    <col min="2" max="2" width="10.6640625" style="3" customWidth="1"/>
    <col min="3" max="3" width="4.6640625" style="4" customWidth="1"/>
    <col min="4" max="4" width="10.6640625" style="3" customWidth="1"/>
    <col min="5" max="5" width="3.6640625" style="3" customWidth="1"/>
    <col min="6" max="6" width="5.6640625" style="5" customWidth="1"/>
    <col min="7" max="7" width="11.21875" style="5" bestFit="1" customWidth="1"/>
    <col min="8" max="8" width="5.6640625" style="5" customWidth="1"/>
    <col min="9" max="9" width="11.21875" style="5" bestFit="1" customWidth="1"/>
    <col min="10" max="10" width="5.6640625" style="5" customWidth="1"/>
    <col min="11" max="11" width="11.21875" style="5" bestFit="1" customWidth="1"/>
    <col min="12" max="12" width="2.6640625" style="3" customWidth="1"/>
    <col min="13" max="13" width="13.6640625" style="3" customWidth="1"/>
    <col min="14" max="21" width="10.6640625" style="3" customWidth="1"/>
    <col min="22" max="22" width="2.6640625" style="3" customWidth="1"/>
    <col min="23" max="23" width="9.33203125" style="106" bestFit="1" customWidth="1"/>
    <col min="24" max="25" width="10.21875" style="3" bestFit="1" customWidth="1"/>
    <col min="26" max="16384" width="9" style="3"/>
  </cols>
  <sheetData>
    <row r="1" spans="1:26" ht="21" customHeight="1"/>
    <row r="2" spans="1:26" ht="21" customHeight="1" thickBot="1">
      <c r="B2" s="304" t="s">
        <v>12</v>
      </c>
      <c r="C2" s="304"/>
      <c r="D2" s="304"/>
      <c r="E2" s="304"/>
      <c r="G2" s="66"/>
      <c r="I2" s="66"/>
      <c r="K2" s="66"/>
      <c r="M2" s="9"/>
      <c r="N2" s="14" t="s">
        <v>16</v>
      </c>
      <c r="O2" s="14">
        <v>2</v>
      </c>
      <c r="P2" s="14">
        <v>3</v>
      </c>
      <c r="Q2" s="14">
        <v>4</v>
      </c>
      <c r="R2" s="14">
        <v>5</v>
      </c>
      <c r="S2" s="14">
        <v>6</v>
      </c>
      <c r="T2" s="14">
        <v>7</v>
      </c>
      <c r="U2" s="14">
        <v>8</v>
      </c>
      <c r="V2" s="4"/>
      <c r="X2" s="4"/>
      <c r="Y2" s="4"/>
      <c r="Z2" s="4"/>
    </row>
    <row r="3" spans="1:26" s="39" customFormat="1" ht="12" customHeight="1">
      <c r="B3" s="85"/>
      <c r="C3" s="85"/>
      <c r="D3" s="85"/>
      <c r="E3" s="85"/>
      <c r="F3" s="90"/>
      <c r="G3" s="89"/>
      <c r="H3" s="90"/>
      <c r="I3" s="89"/>
      <c r="J3" s="90"/>
      <c r="K3" s="89"/>
      <c r="M3" s="92"/>
      <c r="N3" s="93"/>
      <c r="O3" s="93"/>
      <c r="P3" s="93"/>
      <c r="Q3" s="93"/>
      <c r="R3" s="93"/>
      <c r="S3" s="93"/>
      <c r="T3" s="93"/>
      <c r="U3" s="93"/>
      <c r="V3" s="81"/>
      <c r="W3" s="107"/>
      <c r="X3" s="81"/>
      <c r="Y3" s="81"/>
      <c r="Z3" s="81"/>
    </row>
    <row r="4" spans="1:26" ht="21" customHeight="1" thickBot="1">
      <c r="B4" s="85"/>
      <c r="C4" s="85"/>
      <c r="D4" s="85"/>
      <c r="E4" s="85"/>
      <c r="G4" s="66"/>
      <c r="H4" s="91" t="s">
        <v>123</v>
      </c>
      <c r="I4" s="89"/>
      <c r="J4" s="90"/>
      <c r="K4" s="89"/>
      <c r="L4" s="39"/>
      <c r="M4" s="39"/>
      <c r="N4" s="81"/>
      <c r="O4" s="81"/>
      <c r="P4" s="81"/>
      <c r="Q4" s="81"/>
      <c r="R4" s="81"/>
      <c r="S4" s="81"/>
      <c r="T4" s="81"/>
      <c r="U4" s="81"/>
      <c r="V4" s="4"/>
      <c r="X4" s="4"/>
      <c r="Y4" s="4"/>
      <c r="Z4" s="4"/>
    </row>
    <row r="5" spans="1:26" ht="21" customHeight="1" thickBot="1">
      <c r="B5" s="68"/>
      <c r="C5" s="68"/>
      <c r="D5" s="68"/>
      <c r="G5" s="66"/>
      <c r="H5" s="86" t="s">
        <v>116</v>
      </c>
      <c r="I5" s="87">
        <v>8500000</v>
      </c>
      <c r="J5" s="86" t="s">
        <v>115</v>
      </c>
      <c r="K5" s="87">
        <v>10000000</v>
      </c>
      <c r="M5" s="94" t="s">
        <v>114</v>
      </c>
      <c r="N5" s="221">
        <f>IF(AND(試算!$H$27="該当する",$K$5&lt;N$12),($K$5-$I$5)*0.1,IF(AND(試算!$H$27="該当する",$I$5&lt;N$12,N$12&lt;=$K$5),(N$12-$I$5)*0.1,0))</f>
        <v>0</v>
      </c>
      <c r="O5" s="221">
        <f>IF(AND(試算!$H$28="該当する",$K$5&lt;O$12),($K$5-$I$5)*0.1,IF(AND(試算!$H$28="該当する",$I$5&lt;O$12,O$12&lt;=$K$5),(O$12-$I$5)*0.1,0))</f>
        <v>0</v>
      </c>
      <c r="P5" s="221">
        <f>IF(AND(試算!$H$29="該当する",$K$5&lt;P$12),($K$5-$I$5)*0.1,IF(AND(試算!$H$29="該当する",$I$5&lt;P$12,P$12&lt;=$K$5),(P$12-$I$5)*0.1,0))</f>
        <v>0</v>
      </c>
      <c r="Q5" s="221">
        <f>IF(AND(試算!$H$30="該当する",$K$5&lt;Q$12),($K$5-$I$5)*0.1,IF(AND(試算!$H$30="該当する",$I$5&lt;Q$12,Q$12&lt;=$K$5),(Q$12-$I$5)*0.1,0))</f>
        <v>0</v>
      </c>
      <c r="R5" s="221">
        <f>IF(AND(試算!$H$31="該当する",$K$5&lt;R$12),($K$5-$I$5)*0.1,IF(AND(試算!$H$31="該当する",$I$5&lt;R$12,R$12&lt;=$K$5),(R$12-$I$5)*0.1,0))</f>
        <v>0</v>
      </c>
      <c r="S5" s="221">
        <f>IF(AND(試算!$H$32="該当する",$K$5&lt;S$12),($K$5-$I$5)*0.1,IF(AND(試算!$H$32="該当する",$I$5&lt;S$12,S$12&lt;=$K$5),(S$12-$I$5)*0.1,0))</f>
        <v>0</v>
      </c>
      <c r="T5" s="221">
        <f>IF(AND(試算!$H$33="該当する",$K$5&lt;T$12),($K$5-$I$5)*0.1,IF(AND(試算!$H$33="該当する",$I$5&lt;T$12,T$12&lt;=$K$5),(T$12-$I$5)*0.1,0))</f>
        <v>0</v>
      </c>
      <c r="U5" s="222">
        <f>IF(AND(試算!$H$34="該当する",$K$5&lt;U$12),($K$5-$I$5)*0.1,IF(AND(試算!$H$34="該当する",$I$5&lt;U$12,U$12&lt;=$K$5),(U$12-$I$5)*0.1,0))</f>
        <v>0</v>
      </c>
      <c r="V5" s="4"/>
      <c r="W5" s="106" t="s">
        <v>119</v>
      </c>
      <c r="X5" s="4"/>
      <c r="Y5" s="4"/>
      <c r="Z5" s="4"/>
    </row>
    <row r="6" spans="1:26" ht="12" customHeight="1">
      <c r="B6" s="68"/>
      <c r="C6" s="68"/>
      <c r="D6" s="68"/>
      <c r="G6" s="66"/>
      <c r="H6" s="88"/>
      <c r="I6" s="89"/>
      <c r="J6" s="88"/>
      <c r="K6" s="89"/>
      <c r="M6" s="102"/>
      <c r="N6" s="103"/>
      <c r="O6" s="103"/>
      <c r="P6" s="103"/>
      <c r="Q6" s="103"/>
      <c r="R6" s="103"/>
      <c r="S6" s="103"/>
      <c r="T6" s="103"/>
      <c r="U6" s="103"/>
      <c r="V6" s="4"/>
      <c r="X6" s="4"/>
      <c r="Y6" s="4"/>
      <c r="Z6" s="4"/>
    </row>
    <row r="7" spans="1:26" ht="21" customHeight="1" thickBot="1">
      <c r="B7" s="68"/>
      <c r="C7" s="68"/>
      <c r="D7" s="68"/>
      <c r="G7" s="66"/>
      <c r="H7" s="91" t="s">
        <v>117</v>
      </c>
      <c r="I7" s="89"/>
      <c r="J7" s="90"/>
      <c r="K7" s="89"/>
      <c r="L7" s="39"/>
      <c r="M7" s="39"/>
      <c r="N7" s="81"/>
      <c r="O7" s="81"/>
      <c r="P7" s="81"/>
      <c r="Q7" s="81"/>
      <c r="R7" s="81"/>
      <c r="S7" s="81"/>
      <c r="T7" s="81"/>
      <c r="U7" s="81"/>
      <c r="V7" s="4"/>
      <c r="X7" s="4"/>
      <c r="Y7" s="4"/>
      <c r="Z7" s="4"/>
    </row>
    <row r="8" spans="1:26" ht="21" customHeight="1" thickBot="1">
      <c r="B8" s="68"/>
      <c r="C8" s="68"/>
      <c r="D8" s="68"/>
      <c r="G8" s="66"/>
      <c r="I8" s="66"/>
      <c r="J8" s="84"/>
      <c r="K8" s="66"/>
      <c r="M8" s="94" t="s">
        <v>113</v>
      </c>
      <c r="N8" s="221">
        <f>IF(OR(SUM(N$9:N$10)&lt;=100000,N9=0,N10=0),0,IF(OR(N9&lt;100000,N10&lt;100000),MIN(N$9:N$10)+100000-100000,IF(AND(SUM(N$9:N$10)&gt;100000,SUM(N$9:N$10)&lt;200000),SUM(N$9:N$10)-100000,100000)))</f>
        <v>0</v>
      </c>
      <c r="O8" s="221">
        <f t="shared" ref="O8:U8" si="0">IF(OR(SUM(O$9:O$10)&lt;=100000,O9=0,O10=0),0,IF(OR(O9&lt;100000,O10&lt;100000),MIN(O$9:O$10)+100000-100000,IF(AND(SUM(O$9:O$10)&gt;100000,SUM(O$9:O$10)&lt;200000),SUM(O$9:O$10)-100000,100000)))</f>
        <v>0</v>
      </c>
      <c r="P8" s="221">
        <f t="shared" si="0"/>
        <v>0</v>
      </c>
      <c r="Q8" s="221">
        <f t="shared" si="0"/>
        <v>0</v>
      </c>
      <c r="R8" s="221">
        <f t="shared" si="0"/>
        <v>0</v>
      </c>
      <c r="S8" s="221">
        <f t="shared" si="0"/>
        <v>0</v>
      </c>
      <c r="T8" s="221">
        <f t="shared" si="0"/>
        <v>0</v>
      </c>
      <c r="U8" s="222">
        <f t="shared" si="0"/>
        <v>0</v>
      </c>
      <c r="V8" s="4"/>
      <c r="W8" s="106" t="s">
        <v>120</v>
      </c>
      <c r="X8" s="4"/>
      <c r="Y8" s="4"/>
      <c r="Z8" s="4"/>
    </row>
    <row r="9" spans="1:26" ht="21" customHeight="1">
      <c r="B9" s="68"/>
      <c r="C9" s="68"/>
      <c r="D9" s="68"/>
      <c r="G9" s="66"/>
      <c r="I9" s="66"/>
      <c r="K9" s="66"/>
      <c r="M9" s="95" t="s">
        <v>109</v>
      </c>
      <c r="N9" s="223">
        <f t="shared" ref="N9:U9" si="1">SUM(N14:N19)-N5</f>
        <v>0</v>
      </c>
      <c r="O9" s="223">
        <f t="shared" si="1"/>
        <v>1283600</v>
      </c>
      <c r="P9" s="223">
        <f t="shared" si="1"/>
        <v>0</v>
      </c>
      <c r="Q9" s="223">
        <f t="shared" si="1"/>
        <v>0</v>
      </c>
      <c r="R9" s="223">
        <f t="shared" si="1"/>
        <v>0</v>
      </c>
      <c r="S9" s="223">
        <f t="shared" si="1"/>
        <v>0</v>
      </c>
      <c r="T9" s="223">
        <f t="shared" si="1"/>
        <v>0</v>
      </c>
      <c r="U9" s="223">
        <f t="shared" si="1"/>
        <v>0</v>
      </c>
      <c r="V9" s="4"/>
      <c r="W9" s="106" t="s">
        <v>124</v>
      </c>
      <c r="X9" s="4"/>
      <c r="Y9" s="4"/>
      <c r="Z9" s="4"/>
    </row>
    <row r="10" spans="1:26" ht="21" customHeight="1">
      <c r="B10" s="68"/>
      <c r="C10" s="68"/>
      <c r="D10" s="68"/>
      <c r="G10" s="66"/>
      <c r="I10" s="66"/>
      <c r="K10" s="66"/>
      <c r="M10" s="67" t="s">
        <v>108</v>
      </c>
      <c r="N10" s="204">
        <f>計算根拠!H22</f>
        <v>0</v>
      </c>
      <c r="O10" s="204">
        <f>計算根拠!H23</f>
        <v>0</v>
      </c>
      <c r="P10" s="204">
        <f>計算根拠!H24</f>
        <v>0</v>
      </c>
      <c r="Q10" s="204">
        <f>計算根拠!H25</f>
        <v>0</v>
      </c>
      <c r="R10" s="204">
        <f>計算根拠!H26</f>
        <v>0</v>
      </c>
      <c r="S10" s="204">
        <f>計算根拠!H27</f>
        <v>0</v>
      </c>
      <c r="T10" s="204">
        <f>計算根拠!H28</f>
        <v>0</v>
      </c>
      <c r="U10" s="204">
        <f>計算根拠!H29</f>
        <v>0</v>
      </c>
      <c r="V10" s="4"/>
      <c r="W10" s="106" t="s">
        <v>121</v>
      </c>
      <c r="X10" s="4"/>
      <c r="Y10" s="4"/>
      <c r="Z10" s="4"/>
    </row>
    <row r="11" spans="1:26" ht="12" customHeight="1">
      <c r="B11" s="68"/>
      <c r="C11" s="68"/>
      <c r="D11" s="68"/>
      <c r="G11" s="66"/>
      <c r="I11" s="66"/>
      <c r="K11" s="66"/>
      <c r="M11" s="96"/>
      <c r="N11" s="46"/>
      <c r="O11" s="46"/>
      <c r="P11" s="46"/>
      <c r="Q11" s="46"/>
      <c r="R11" s="46"/>
      <c r="S11" s="46"/>
      <c r="T11" s="46"/>
      <c r="U11" s="46"/>
      <c r="V11" s="4"/>
      <c r="X11" s="4"/>
      <c r="Y11" s="4"/>
      <c r="Z11" s="4"/>
    </row>
    <row r="12" spans="1:26" ht="21" customHeight="1" thickBot="1">
      <c r="F12" s="6"/>
      <c r="G12" s="6"/>
      <c r="H12" s="6"/>
      <c r="I12" s="6"/>
      <c r="J12" s="6"/>
      <c r="K12" s="6"/>
      <c r="M12" s="97" t="s">
        <v>111</v>
      </c>
      <c r="N12" s="224">
        <f>試算!E27</f>
        <v>0</v>
      </c>
      <c r="O12" s="224">
        <f>試算!E28</f>
        <v>1950000</v>
      </c>
      <c r="P12" s="224">
        <f>試算!E29</f>
        <v>0</v>
      </c>
      <c r="Q12" s="224">
        <f>試算!E30</f>
        <v>0</v>
      </c>
      <c r="R12" s="224">
        <f>試算!E31</f>
        <v>0</v>
      </c>
      <c r="S12" s="224">
        <f>試算!E32</f>
        <v>0</v>
      </c>
      <c r="T12" s="224">
        <f>試算!E33</f>
        <v>0</v>
      </c>
      <c r="U12" s="224">
        <f>試算!E34</f>
        <v>0</v>
      </c>
    </row>
    <row r="13" spans="1:26" ht="21" customHeight="1" thickBot="1">
      <c r="A13" s="9"/>
      <c r="B13" s="47"/>
      <c r="C13" s="46"/>
      <c r="D13" s="44"/>
      <c r="E13" s="53"/>
      <c r="F13" s="54" t="s">
        <v>63</v>
      </c>
      <c r="G13" s="55" t="s">
        <v>133</v>
      </c>
      <c r="H13" s="69"/>
      <c r="I13" s="55" t="s">
        <v>134</v>
      </c>
      <c r="J13" s="54" t="s">
        <v>63</v>
      </c>
      <c r="K13" s="55" t="s">
        <v>96</v>
      </c>
      <c r="M13" s="99" t="s">
        <v>110</v>
      </c>
      <c r="N13" s="225">
        <f>IF(N9=0,0,N9-N8)</f>
        <v>0</v>
      </c>
      <c r="O13" s="225">
        <f t="shared" ref="O13:U13" si="2">IF(O9=0,0,O9-O8)</f>
        <v>1283600</v>
      </c>
      <c r="P13" s="225">
        <f t="shared" si="2"/>
        <v>0</v>
      </c>
      <c r="Q13" s="225">
        <f t="shared" si="2"/>
        <v>0</v>
      </c>
      <c r="R13" s="225">
        <f t="shared" si="2"/>
        <v>0</v>
      </c>
      <c r="S13" s="225">
        <f t="shared" si="2"/>
        <v>0</v>
      </c>
      <c r="T13" s="225">
        <f t="shared" si="2"/>
        <v>0</v>
      </c>
      <c r="U13" s="226">
        <f t="shared" si="2"/>
        <v>0</v>
      </c>
      <c r="W13" s="106" t="s">
        <v>125</v>
      </c>
    </row>
    <row r="14" spans="1:26" ht="21" customHeight="1">
      <c r="A14" s="9">
        <v>1</v>
      </c>
      <c r="B14" s="45">
        <v>0</v>
      </c>
      <c r="C14" s="46" t="s">
        <v>0</v>
      </c>
      <c r="D14" s="44">
        <v>650999</v>
      </c>
      <c r="E14" s="48"/>
      <c r="F14" s="49"/>
      <c r="G14" s="52"/>
      <c r="H14" s="70"/>
      <c r="I14" s="52">
        <v>0</v>
      </c>
      <c r="J14" s="70"/>
      <c r="K14" s="52"/>
      <c r="M14" s="98"/>
      <c r="N14" s="227">
        <f>IF(N$12&lt;=$D14,0,"      ー")</f>
        <v>0</v>
      </c>
      <c r="O14" s="227" t="str">
        <f>IF(O$12&lt;=$D14,0,"      ー")</f>
        <v xml:space="preserve">      ー</v>
      </c>
      <c r="P14" s="227">
        <f t="shared" ref="P14:U14" si="3">IF(P$12&lt;=$D14,0,"      ー")</f>
        <v>0</v>
      </c>
      <c r="Q14" s="227">
        <f t="shared" si="3"/>
        <v>0</v>
      </c>
      <c r="R14" s="227">
        <f t="shared" si="3"/>
        <v>0</v>
      </c>
      <c r="S14" s="227">
        <f t="shared" si="3"/>
        <v>0</v>
      </c>
      <c r="T14" s="227">
        <f t="shared" si="3"/>
        <v>0</v>
      </c>
      <c r="U14" s="227">
        <f t="shared" si="3"/>
        <v>0</v>
      </c>
    </row>
    <row r="15" spans="1:26" ht="21" customHeight="1">
      <c r="A15" s="9">
        <v>2</v>
      </c>
      <c r="B15" s="207">
        <f>D14+1</f>
        <v>651000</v>
      </c>
      <c r="C15" s="46" t="s">
        <v>0</v>
      </c>
      <c r="D15" s="44">
        <v>1899999</v>
      </c>
      <c r="E15" s="48"/>
      <c r="F15" s="49"/>
      <c r="G15" s="52">
        <v>-650000</v>
      </c>
      <c r="H15" s="70"/>
      <c r="I15" s="52"/>
      <c r="J15" s="70"/>
      <c r="K15" s="52"/>
      <c r="M15" s="98"/>
      <c r="N15" s="205" t="str">
        <f>IF(AND($B15&lt;=N$12,N$12&lt;=$D15),N$12+$G15,"      ー")</f>
        <v xml:space="preserve">      ー</v>
      </c>
      <c r="O15" s="205" t="str">
        <f t="shared" ref="O15:U15" si="4">IF(AND($B15&lt;=O$12,O$12&lt;=$D15),O$12+$G15,"      ー")</f>
        <v xml:space="preserve">      ー</v>
      </c>
      <c r="P15" s="205" t="str">
        <f t="shared" si="4"/>
        <v xml:space="preserve">      ー</v>
      </c>
      <c r="Q15" s="205" t="str">
        <f t="shared" si="4"/>
        <v xml:space="preserve">      ー</v>
      </c>
      <c r="R15" s="205" t="str">
        <f t="shared" si="4"/>
        <v xml:space="preserve">      ー</v>
      </c>
      <c r="S15" s="205" t="str">
        <f t="shared" si="4"/>
        <v xml:space="preserve">      ー</v>
      </c>
      <c r="T15" s="205" t="str">
        <f t="shared" si="4"/>
        <v xml:space="preserve">      ー</v>
      </c>
      <c r="U15" s="205" t="str">
        <f t="shared" si="4"/>
        <v xml:space="preserve">      ー</v>
      </c>
    </row>
    <row r="16" spans="1:26" ht="21" customHeight="1">
      <c r="A16" s="9">
        <v>3</v>
      </c>
      <c r="B16" s="207">
        <f>D15+1</f>
        <v>1900000</v>
      </c>
      <c r="C16" s="46" t="s">
        <v>0</v>
      </c>
      <c r="D16" s="44">
        <v>3599999</v>
      </c>
      <c r="E16" s="48">
        <v>4</v>
      </c>
      <c r="F16" s="49">
        <v>2.8</v>
      </c>
      <c r="G16" s="52">
        <v>-80000</v>
      </c>
      <c r="H16" s="70"/>
      <c r="I16" s="52"/>
      <c r="J16" s="70"/>
      <c r="K16" s="52"/>
      <c r="M16" s="9"/>
      <c r="N16" s="205" t="str">
        <f>IF(AND($B16&lt;=N$12,N$12&lt;=$D16),ROUNDDOWN(N$12/$E16,-3)*$F16+$G16,"      ー")</f>
        <v xml:space="preserve">      ー</v>
      </c>
      <c r="O16" s="205">
        <f t="shared" ref="O16:U17" si="5">IF(AND($B16&lt;=O$12,O$12&lt;=$D16),ROUNDDOWN(O$12/$E16,-3)*$F16+$G16,"      ー")</f>
        <v>1283600</v>
      </c>
      <c r="P16" s="205" t="str">
        <f t="shared" si="5"/>
        <v xml:space="preserve">      ー</v>
      </c>
      <c r="Q16" s="205" t="str">
        <f t="shared" si="5"/>
        <v xml:space="preserve">      ー</v>
      </c>
      <c r="R16" s="205" t="str">
        <f t="shared" si="5"/>
        <v xml:space="preserve">      ー</v>
      </c>
      <c r="S16" s="205" t="str">
        <f t="shared" si="5"/>
        <v xml:space="preserve">      ー</v>
      </c>
      <c r="T16" s="205" t="str">
        <f t="shared" si="5"/>
        <v xml:space="preserve">      ー</v>
      </c>
      <c r="U16" s="205" t="str">
        <f t="shared" si="5"/>
        <v xml:space="preserve">      ー</v>
      </c>
    </row>
    <row r="17" spans="1:23" ht="21" customHeight="1">
      <c r="A17" s="9">
        <v>4</v>
      </c>
      <c r="B17" s="207">
        <f t="shared" ref="B17" si="6">D16+1</f>
        <v>3600000</v>
      </c>
      <c r="C17" s="46" t="s">
        <v>0</v>
      </c>
      <c r="D17" s="44">
        <v>6599999</v>
      </c>
      <c r="E17" s="48">
        <v>4</v>
      </c>
      <c r="F17" s="49">
        <v>3.2</v>
      </c>
      <c r="G17" s="52">
        <v>-440000</v>
      </c>
      <c r="H17" s="70"/>
      <c r="I17" s="52"/>
      <c r="J17" s="70"/>
      <c r="K17" s="52"/>
      <c r="M17" s="9"/>
      <c r="N17" s="205" t="str">
        <f>IF(AND($B17&lt;=N$12,N$12&lt;=$D17),ROUNDDOWN(N$12/$E17,-3)*$F17+$G17,"      ー")</f>
        <v xml:space="preserve">      ー</v>
      </c>
      <c r="O17" s="205" t="str">
        <f t="shared" si="5"/>
        <v xml:space="preserve">      ー</v>
      </c>
      <c r="P17" s="205" t="str">
        <f t="shared" si="5"/>
        <v xml:space="preserve">      ー</v>
      </c>
      <c r="Q17" s="205" t="str">
        <f t="shared" si="5"/>
        <v xml:space="preserve">      ー</v>
      </c>
      <c r="R17" s="205" t="str">
        <f t="shared" si="5"/>
        <v xml:space="preserve">      ー</v>
      </c>
      <c r="S17" s="205" t="str">
        <f t="shared" si="5"/>
        <v xml:space="preserve">      ー</v>
      </c>
      <c r="T17" s="205" t="str">
        <f t="shared" si="5"/>
        <v xml:space="preserve">      ー</v>
      </c>
      <c r="U17" s="205" t="str">
        <f t="shared" si="5"/>
        <v xml:space="preserve">      ー</v>
      </c>
    </row>
    <row r="18" spans="1:23" ht="21" customHeight="1">
      <c r="A18" s="9">
        <v>5</v>
      </c>
      <c r="B18" s="207">
        <f t="shared" ref="B18" si="7">D17+1</f>
        <v>6600000</v>
      </c>
      <c r="C18" s="46" t="s">
        <v>0</v>
      </c>
      <c r="D18" s="44">
        <v>8499999</v>
      </c>
      <c r="E18" s="48"/>
      <c r="F18" s="49">
        <v>0.9</v>
      </c>
      <c r="G18" s="52">
        <v>-1100000</v>
      </c>
      <c r="H18" s="70"/>
      <c r="I18" s="52"/>
      <c r="J18" s="70"/>
      <c r="K18" s="52"/>
      <c r="M18" s="9"/>
      <c r="N18" s="205" t="str">
        <f>IF(AND($B18&lt;=N$12,N$12&lt;=$D18),N$12*$F18+$G18,"      ー")</f>
        <v xml:space="preserve">      ー</v>
      </c>
      <c r="O18" s="205" t="str">
        <f t="shared" ref="O18:U18" si="8">IF(AND($B18&lt;=O$12,O$12&lt;=$D18),O$12*$F18+$G18,"      ー")</f>
        <v xml:space="preserve">      ー</v>
      </c>
      <c r="P18" s="205" t="str">
        <f t="shared" si="8"/>
        <v xml:space="preserve">      ー</v>
      </c>
      <c r="Q18" s="205" t="str">
        <f t="shared" si="8"/>
        <v xml:space="preserve">      ー</v>
      </c>
      <c r="R18" s="205" t="str">
        <f t="shared" si="8"/>
        <v xml:space="preserve">      ー</v>
      </c>
      <c r="S18" s="205" t="str">
        <f t="shared" si="8"/>
        <v xml:space="preserve">      ー</v>
      </c>
      <c r="T18" s="205" t="str">
        <f t="shared" si="8"/>
        <v xml:space="preserve">      ー</v>
      </c>
      <c r="U18" s="205" t="str">
        <f t="shared" si="8"/>
        <v xml:space="preserve">      ー</v>
      </c>
    </row>
    <row r="19" spans="1:23" ht="21" customHeight="1">
      <c r="A19" s="9">
        <v>6</v>
      </c>
      <c r="B19" s="207">
        <f>D18+1</f>
        <v>8500000</v>
      </c>
      <c r="C19" s="46" t="s">
        <v>0</v>
      </c>
      <c r="D19" s="44"/>
      <c r="E19" s="48"/>
      <c r="F19" s="49"/>
      <c r="G19" s="52">
        <v>-1950000</v>
      </c>
      <c r="H19" s="70"/>
      <c r="I19" s="52"/>
      <c r="J19" s="70"/>
      <c r="K19" s="52"/>
      <c r="M19" s="9"/>
      <c r="N19" s="205" t="str">
        <f>IF($B19&lt;=N$12,N$12+$G19,"      ー")</f>
        <v xml:space="preserve">      ー</v>
      </c>
      <c r="O19" s="205" t="str">
        <f t="shared" ref="O19:U19" si="9">IF($B19&lt;=O$12,O$12+$G19,"      ー")</f>
        <v xml:space="preserve">      ー</v>
      </c>
      <c r="P19" s="205" t="str">
        <f t="shared" si="9"/>
        <v xml:space="preserve">      ー</v>
      </c>
      <c r="Q19" s="205" t="str">
        <f t="shared" si="9"/>
        <v xml:space="preserve">      ー</v>
      </c>
      <c r="R19" s="205" t="str">
        <f t="shared" si="9"/>
        <v xml:space="preserve">      ー</v>
      </c>
      <c r="S19" s="205" t="str">
        <f t="shared" si="9"/>
        <v xml:space="preserve">      ー</v>
      </c>
      <c r="T19" s="205" t="str">
        <f t="shared" si="9"/>
        <v xml:space="preserve">      ー</v>
      </c>
      <c r="U19" s="205" t="str">
        <f t="shared" si="9"/>
        <v xml:space="preserve">      ー</v>
      </c>
    </row>
    <row r="20" spans="1:23" ht="21" customHeight="1"/>
    <row r="21" spans="1:23" ht="21" customHeight="1" thickBot="1">
      <c r="B21" s="305" t="s">
        <v>13</v>
      </c>
      <c r="C21" s="305"/>
      <c r="D21" s="305"/>
      <c r="E21" s="305"/>
      <c r="M21" s="9"/>
      <c r="N21" s="14" t="s">
        <v>16</v>
      </c>
      <c r="O21" s="14">
        <v>2</v>
      </c>
      <c r="P21" s="14">
        <v>3</v>
      </c>
      <c r="Q21" s="14">
        <v>4</v>
      </c>
      <c r="R21" s="14">
        <v>5</v>
      </c>
      <c r="S21" s="14">
        <v>6</v>
      </c>
      <c r="T21" s="14">
        <v>7</v>
      </c>
      <c r="U21" s="14">
        <v>8</v>
      </c>
    </row>
    <row r="22" spans="1:23" ht="21" customHeight="1">
      <c r="B22" s="68"/>
      <c r="C22" s="68"/>
      <c r="D22" s="68"/>
      <c r="F22" s="77" t="s">
        <v>107</v>
      </c>
      <c r="G22" s="66"/>
      <c r="H22" s="77" t="s">
        <v>107</v>
      </c>
      <c r="I22" s="3"/>
      <c r="J22" s="77" t="s">
        <v>107</v>
      </c>
      <c r="K22" s="3"/>
      <c r="M22" s="83" t="s">
        <v>97</v>
      </c>
      <c r="N22" s="197">
        <f>SUM(N$14:N$19,計算根拠!I22)</f>
        <v>1234954</v>
      </c>
      <c r="O22" s="197">
        <f>SUM(O$14:O$19,計算根拠!I23)</f>
        <v>1283600</v>
      </c>
      <c r="P22" s="197">
        <f>SUM(P$14:P$19,計算根拠!I24)</f>
        <v>0</v>
      </c>
      <c r="Q22" s="197">
        <f>SUM(Q$14:Q$19,計算根拠!I25)</f>
        <v>0</v>
      </c>
      <c r="R22" s="197">
        <f>SUM(R$14:R$19,計算根拠!I25)</f>
        <v>0</v>
      </c>
      <c r="S22" s="197">
        <f>SUM(S$14:S$19,計算根拠!I26)</f>
        <v>0</v>
      </c>
      <c r="T22" s="197">
        <f>SUM(T$14:T$19,計算根拠!I27)</f>
        <v>0</v>
      </c>
      <c r="U22" s="197">
        <f>SUM(U$14:U$19,計算根拠!I28)</f>
        <v>0</v>
      </c>
    </row>
    <row r="23" spans="1:23" ht="21" customHeight="1">
      <c r="B23" s="68"/>
      <c r="C23" s="68"/>
      <c r="D23" s="68"/>
      <c r="F23" s="302">
        <v>1</v>
      </c>
      <c r="G23" s="76"/>
      <c r="H23" s="302">
        <v>2</v>
      </c>
      <c r="I23" s="229">
        <f>G24+1</f>
        <v>10000001</v>
      </c>
      <c r="J23" s="302">
        <v>3</v>
      </c>
      <c r="K23" s="229">
        <f>I24+1</f>
        <v>20000001</v>
      </c>
      <c r="M23" s="14" t="s">
        <v>33</v>
      </c>
      <c r="N23" s="228">
        <f>計算根拠!$C22</f>
        <v>7</v>
      </c>
      <c r="O23" s="228">
        <f>計算根拠!$C23</f>
        <v>3</v>
      </c>
      <c r="P23" s="228">
        <f>計算根拠!$C24</f>
        <v>5</v>
      </c>
      <c r="Q23" s="228" t="str">
        <f>計算根拠!$C25</f>
        <v/>
      </c>
      <c r="R23" s="228" t="str">
        <f>計算根拠!$C26</f>
        <v/>
      </c>
      <c r="S23" s="228" t="str">
        <f>計算根拠!$C27</f>
        <v/>
      </c>
      <c r="T23" s="228" t="str">
        <f>計算根拠!$C28</f>
        <v/>
      </c>
      <c r="U23" s="228" t="str">
        <f>計算根拠!$C29</f>
        <v/>
      </c>
    </row>
    <row r="24" spans="1:23" ht="21" customHeight="1">
      <c r="B24" s="68"/>
      <c r="C24" s="68"/>
      <c r="D24" s="68"/>
      <c r="F24" s="303"/>
      <c r="G24" s="71">
        <v>10000000</v>
      </c>
      <c r="H24" s="303"/>
      <c r="I24" s="71">
        <v>20000000</v>
      </c>
      <c r="J24" s="303"/>
      <c r="K24" s="71"/>
      <c r="M24" s="14" t="s">
        <v>98</v>
      </c>
      <c r="N24" s="228">
        <f>IF(N$22&lt;=$G$24,1,IF(AND($I$23&lt;=N$22,N$22&lt;=$I$24),2,IF($K$23&lt;=N$22,3)))</f>
        <v>1</v>
      </c>
      <c r="O24" s="228">
        <f t="shared" ref="O24:U24" si="10">IF(O$22&lt;=$G$24,1,IF(AND($I$23&lt;=O$22,O$22&lt;=$I$24),2,IF($K$23&lt;=O$22,3)))</f>
        <v>1</v>
      </c>
      <c r="P24" s="228">
        <f t="shared" si="10"/>
        <v>1</v>
      </c>
      <c r="Q24" s="228">
        <f t="shared" si="10"/>
        <v>1</v>
      </c>
      <c r="R24" s="228">
        <f t="shared" si="10"/>
        <v>1</v>
      </c>
      <c r="S24" s="228">
        <f t="shared" si="10"/>
        <v>1</v>
      </c>
      <c r="T24" s="228">
        <f t="shared" si="10"/>
        <v>1</v>
      </c>
      <c r="U24" s="228">
        <f t="shared" si="10"/>
        <v>1</v>
      </c>
    </row>
    <row r="25" spans="1:23" ht="12" customHeight="1">
      <c r="B25" s="68"/>
      <c r="C25" s="68"/>
      <c r="D25" s="68"/>
      <c r="F25" s="3"/>
      <c r="G25" s="3"/>
      <c r="H25" s="3"/>
      <c r="I25" s="3"/>
      <c r="J25" s="3"/>
      <c r="K25" s="3"/>
    </row>
    <row r="26" spans="1:23" ht="21" customHeight="1" thickBot="1">
      <c r="B26" s="82" t="s">
        <v>14</v>
      </c>
      <c r="F26" s="3"/>
      <c r="G26" s="3"/>
      <c r="H26" s="3"/>
      <c r="I26" s="3"/>
      <c r="J26" s="3"/>
      <c r="K26" s="3"/>
      <c r="M26" s="97" t="s">
        <v>10</v>
      </c>
      <c r="N26" s="230">
        <f>試算!F27</f>
        <v>515063</v>
      </c>
      <c r="O26" s="230">
        <f>試算!F28</f>
        <v>0</v>
      </c>
      <c r="P26" s="230">
        <f>試算!F29</f>
        <v>202226</v>
      </c>
      <c r="Q26" s="230">
        <f>試算!F30</f>
        <v>0</v>
      </c>
      <c r="R26" s="230">
        <f>試算!F31</f>
        <v>0</v>
      </c>
      <c r="S26" s="230">
        <f>試算!F32</f>
        <v>0</v>
      </c>
      <c r="T26" s="230">
        <f>試算!F33</f>
        <v>0</v>
      </c>
      <c r="U26" s="230">
        <f>試算!F34</f>
        <v>0</v>
      </c>
    </row>
    <row r="27" spans="1:23" ht="21" customHeight="1" thickBot="1">
      <c r="A27" s="9"/>
      <c r="B27" s="45"/>
      <c r="C27" s="46"/>
      <c r="D27" s="44"/>
      <c r="E27" s="72"/>
      <c r="F27" s="73" t="s">
        <v>63</v>
      </c>
      <c r="G27" s="55" t="s">
        <v>96</v>
      </c>
      <c r="H27" s="54" t="s">
        <v>63</v>
      </c>
      <c r="I27" s="55" t="s">
        <v>96</v>
      </c>
      <c r="J27" s="54" t="s">
        <v>63</v>
      </c>
      <c r="K27" s="55" t="s">
        <v>96</v>
      </c>
      <c r="M27" s="100" t="s">
        <v>11</v>
      </c>
      <c r="N27" s="231">
        <f t="shared" ref="N27:U27" si="11">SUM(N28:N32)</f>
        <v>0</v>
      </c>
      <c r="O27" s="231">
        <f t="shared" si="11"/>
        <v>0</v>
      </c>
      <c r="P27" s="231">
        <f t="shared" si="11"/>
        <v>0</v>
      </c>
      <c r="Q27" s="231">
        <f t="shared" si="11"/>
        <v>0</v>
      </c>
      <c r="R27" s="231">
        <f t="shared" si="11"/>
        <v>0</v>
      </c>
      <c r="S27" s="231">
        <f t="shared" si="11"/>
        <v>0</v>
      </c>
      <c r="T27" s="231">
        <f t="shared" si="11"/>
        <v>0</v>
      </c>
      <c r="U27" s="232">
        <f t="shared" si="11"/>
        <v>0</v>
      </c>
      <c r="W27" s="106" t="s">
        <v>122</v>
      </c>
    </row>
    <row r="28" spans="1:23" ht="21" customHeight="1">
      <c r="A28" s="9">
        <v>1</v>
      </c>
      <c r="B28" s="45">
        <v>0</v>
      </c>
      <c r="C28" s="46" t="s">
        <v>0</v>
      </c>
      <c r="D28" s="44">
        <v>1300000</v>
      </c>
      <c r="E28" s="45"/>
      <c r="F28" s="74"/>
      <c r="G28" s="52">
        <v>-600000</v>
      </c>
      <c r="H28" s="49"/>
      <c r="I28" s="52">
        <v>-500000</v>
      </c>
      <c r="J28" s="49"/>
      <c r="K28" s="52">
        <v>-400000</v>
      </c>
      <c r="M28" s="98"/>
      <c r="N28" s="227">
        <f>IF(N24=1,IF(ABS($G$28)&gt;=N$26,0,IF(N$26&lt;=$D28,N$26+$G28,"     -")),IF(N24=2,IF(ABS($I$28)&gt;=N$26,0,IF(N$26&lt;=$D28,N$26+$I28,"     -")),IF(N24=3,IF(ABS($K$28)&gt;=N$26,0,IF(N$26&lt;=$D28,N$26+$K28,"     -")))))</f>
        <v>0</v>
      </c>
      <c r="O28" s="227">
        <f t="shared" ref="O28:U28" si="12">IF(O24=1,IF(ABS($G$28)&gt;=O$26,0,IF(O$26&lt;=$D28,O$26+$G28,"     -")),IF(O24=2,IF(ABS($I$28)&gt;=O$26,0,IF(O$26&lt;=$D28,O$26+$I28,"     -")),IF(O24=3,IF(ABS($K$28)&gt;=O$26,0,IF(O$26&lt;=$D28,O$26+$K28,"     -")))))</f>
        <v>0</v>
      </c>
      <c r="P28" s="227">
        <f t="shared" si="12"/>
        <v>0</v>
      </c>
      <c r="Q28" s="227">
        <f t="shared" si="12"/>
        <v>0</v>
      </c>
      <c r="R28" s="227">
        <f t="shared" si="12"/>
        <v>0</v>
      </c>
      <c r="S28" s="227">
        <f t="shared" si="12"/>
        <v>0</v>
      </c>
      <c r="T28" s="227">
        <f t="shared" si="12"/>
        <v>0</v>
      </c>
      <c r="U28" s="227">
        <f t="shared" si="12"/>
        <v>0</v>
      </c>
    </row>
    <row r="29" spans="1:23" ht="21" customHeight="1">
      <c r="A29" s="9">
        <v>2</v>
      </c>
      <c r="B29" s="207">
        <f>D28+1</f>
        <v>1300001</v>
      </c>
      <c r="C29" s="46" t="s">
        <v>0</v>
      </c>
      <c r="D29" s="44">
        <v>4100000</v>
      </c>
      <c r="E29" s="45"/>
      <c r="F29" s="75">
        <v>0.25</v>
      </c>
      <c r="G29" s="50">
        <v>275000</v>
      </c>
      <c r="H29" s="51">
        <v>0.25</v>
      </c>
      <c r="I29" s="50">
        <v>175000</v>
      </c>
      <c r="J29" s="51">
        <v>0.25</v>
      </c>
      <c r="K29" s="50">
        <v>75000</v>
      </c>
      <c r="M29" s="9"/>
      <c r="N29" s="205" t="str">
        <f>IF(AND(N$24=1,$B29&lt;=N$26,N$26&lt;=$D29),N$26-(N$26*$F29+$G29),IF(AND(N$24=2,$B29&lt;=N$26,N$26&lt;=$D29),N$26-(N$26*$H29+$I29),IF(AND(N$24=3,$B29&lt;=N$26,N$26&lt;=$D29),N$26-(N$26*$J29+$K29),"     -")))</f>
        <v xml:space="preserve">     -</v>
      </c>
      <c r="O29" s="205" t="str">
        <f t="shared" ref="O29:U31" si="13">IF(AND(O$24=1,$B29&lt;=O$26,O$26&lt;=$D29),O$26-(O$26*$F29+$G29),IF(AND(O$24=2,$B29&lt;=O$26,O$26&lt;=$D29),O$26-(O$26*$H29+$I29),IF(AND(O$24=3,$B29&lt;=O$26,O$26&lt;=$D29),O$26-(O$26*$J29+$K29),"     -")))</f>
        <v xml:space="preserve">     -</v>
      </c>
      <c r="P29" s="205" t="str">
        <f t="shared" si="13"/>
        <v xml:space="preserve">     -</v>
      </c>
      <c r="Q29" s="205" t="str">
        <f t="shared" si="13"/>
        <v xml:space="preserve">     -</v>
      </c>
      <c r="R29" s="205" t="str">
        <f t="shared" si="13"/>
        <v xml:space="preserve">     -</v>
      </c>
      <c r="S29" s="205" t="str">
        <f t="shared" si="13"/>
        <v xml:space="preserve">     -</v>
      </c>
      <c r="T29" s="205" t="str">
        <f t="shared" si="13"/>
        <v xml:space="preserve">     -</v>
      </c>
      <c r="U29" s="205" t="str">
        <f t="shared" si="13"/>
        <v xml:space="preserve">     -</v>
      </c>
    </row>
    <row r="30" spans="1:23" ht="21" customHeight="1">
      <c r="A30" s="9">
        <v>3</v>
      </c>
      <c r="B30" s="207">
        <f t="shared" ref="B30:B32" si="14">D29+1</f>
        <v>4100001</v>
      </c>
      <c r="C30" s="46" t="s">
        <v>0</v>
      </c>
      <c r="D30" s="44">
        <v>7700000</v>
      </c>
      <c r="E30" s="45"/>
      <c r="F30" s="75">
        <v>0.15</v>
      </c>
      <c r="G30" s="50">
        <v>685000</v>
      </c>
      <c r="H30" s="51">
        <v>0.15</v>
      </c>
      <c r="I30" s="50">
        <v>585000</v>
      </c>
      <c r="J30" s="51">
        <v>0.15</v>
      </c>
      <c r="K30" s="50">
        <v>485000</v>
      </c>
      <c r="M30" s="9"/>
      <c r="N30" s="205" t="str">
        <f>IF(AND(N$24=1,$B30&lt;=N$26,N$26&lt;=$D30),N$26-(N$26*$F30+$G30),IF(AND(N$24=2,$B30&lt;=N$26,N$26&lt;=$D30),N$26-(N$26*$H30+$I30),IF(AND(N$24=3,$B30&lt;=N$26,N$26&lt;=$D30),N$26-(N$26*$J30+$K30),"     -")))</f>
        <v xml:space="preserve">     -</v>
      </c>
      <c r="O30" s="205" t="str">
        <f t="shared" si="13"/>
        <v xml:space="preserve">     -</v>
      </c>
      <c r="P30" s="205" t="str">
        <f t="shared" si="13"/>
        <v xml:space="preserve">     -</v>
      </c>
      <c r="Q30" s="205" t="str">
        <f t="shared" si="13"/>
        <v xml:space="preserve">     -</v>
      </c>
      <c r="R30" s="205" t="str">
        <f t="shared" si="13"/>
        <v xml:space="preserve">     -</v>
      </c>
      <c r="S30" s="205" t="str">
        <f t="shared" si="13"/>
        <v xml:space="preserve">     -</v>
      </c>
      <c r="T30" s="205" t="str">
        <f t="shared" si="13"/>
        <v xml:space="preserve">     -</v>
      </c>
      <c r="U30" s="205" t="str">
        <f t="shared" si="13"/>
        <v xml:space="preserve">     -</v>
      </c>
    </row>
    <row r="31" spans="1:23" ht="21" customHeight="1">
      <c r="A31" s="9">
        <v>4</v>
      </c>
      <c r="B31" s="207">
        <f t="shared" si="14"/>
        <v>7700001</v>
      </c>
      <c r="C31" s="46" t="s">
        <v>0</v>
      </c>
      <c r="D31" s="44">
        <v>10000000</v>
      </c>
      <c r="E31" s="45"/>
      <c r="F31" s="75">
        <v>0.05</v>
      </c>
      <c r="G31" s="50">
        <v>1455000</v>
      </c>
      <c r="H31" s="51">
        <v>0.05</v>
      </c>
      <c r="I31" s="50">
        <v>1355000</v>
      </c>
      <c r="J31" s="51">
        <v>0.05</v>
      </c>
      <c r="K31" s="50">
        <v>1255000</v>
      </c>
      <c r="M31" s="9"/>
      <c r="N31" s="205" t="str">
        <f>IF(AND(N$24=1,$B31&lt;=N$26,N$26&lt;=$D31),N$26-(N$26*$F31+$G31),IF(AND(N$24=2,$B31&lt;=N$26,N$26&lt;=$D31),N$26-(N$26*$H31+$I31),IF(AND(N$24=3,$B31&lt;=N$26,N$26&lt;=$D31),N$26-(N$26*$J31+$K31),"     -")))</f>
        <v xml:space="preserve">     -</v>
      </c>
      <c r="O31" s="205" t="str">
        <f t="shared" si="13"/>
        <v xml:space="preserve">     -</v>
      </c>
      <c r="P31" s="205" t="str">
        <f t="shared" si="13"/>
        <v xml:space="preserve">     -</v>
      </c>
      <c r="Q31" s="205" t="str">
        <f t="shared" si="13"/>
        <v xml:space="preserve">     -</v>
      </c>
      <c r="R31" s="205" t="str">
        <f t="shared" si="13"/>
        <v xml:space="preserve">     -</v>
      </c>
      <c r="S31" s="205" t="str">
        <f t="shared" si="13"/>
        <v xml:space="preserve">     -</v>
      </c>
      <c r="T31" s="205" t="str">
        <f t="shared" si="13"/>
        <v xml:space="preserve">     -</v>
      </c>
      <c r="U31" s="205" t="str">
        <f t="shared" si="13"/>
        <v xml:space="preserve">     -</v>
      </c>
    </row>
    <row r="32" spans="1:23" ht="21" customHeight="1">
      <c r="A32" s="9">
        <v>5</v>
      </c>
      <c r="B32" s="207">
        <f t="shared" si="14"/>
        <v>10000001</v>
      </c>
      <c r="C32" s="46" t="s">
        <v>0</v>
      </c>
      <c r="D32" s="44"/>
      <c r="E32" s="45"/>
      <c r="F32" s="75"/>
      <c r="G32" s="50">
        <v>1955000</v>
      </c>
      <c r="H32" s="51"/>
      <c r="I32" s="50">
        <v>1855000</v>
      </c>
      <c r="J32" s="51"/>
      <c r="K32" s="50">
        <v>1755000</v>
      </c>
      <c r="M32" s="9"/>
      <c r="N32" s="205" t="str">
        <f>IF(AND(N$24=1,$B32&lt;=N$26),N$26-$G32,IF(AND(N$24=2,$B32&lt;=N$26),N$26-$I32,IF(AND(N$24=3,$B32&lt;=N$26),N$26-$K32,"     -")))</f>
        <v xml:space="preserve">     -</v>
      </c>
      <c r="O32" s="205" t="str">
        <f t="shared" ref="O32:U32" si="15">IF(AND(O$24=1,$B32&lt;=O$26),O$26-$G32,IF(AND(O$24=2,$B32&lt;=O$26),O$26-$I32,IF(AND(O$24=3,$B32&lt;=O$26),O$26-$K32,"     -")))</f>
        <v xml:space="preserve">     -</v>
      </c>
      <c r="P32" s="205" t="str">
        <f t="shared" si="15"/>
        <v xml:space="preserve">     -</v>
      </c>
      <c r="Q32" s="205" t="str">
        <f t="shared" si="15"/>
        <v xml:space="preserve">     -</v>
      </c>
      <c r="R32" s="205" t="str">
        <f t="shared" si="15"/>
        <v xml:space="preserve">     -</v>
      </c>
      <c r="S32" s="205" t="str">
        <f t="shared" si="15"/>
        <v xml:space="preserve">     -</v>
      </c>
      <c r="T32" s="205" t="str">
        <f t="shared" si="15"/>
        <v xml:space="preserve">     -</v>
      </c>
      <c r="U32" s="205" t="str">
        <f t="shared" si="15"/>
        <v xml:space="preserve">     -</v>
      </c>
    </row>
    <row r="33" spans="1:23" ht="12" customHeight="1"/>
    <row r="34" spans="1:23" ht="21" customHeight="1" thickBot="1">
      <c r="B34" s="82" t="s">
        <v>15</v>
      </c>
      <c r="M34" s="97" t="s">
        <v>10</v>
      </c>
      <c r="N34" s="224">
        <f>N26</f>
        <v>515063</v>
      </c>
      <c r="O34" s="224">
        <f t="shared" ref="O34:U34" si="16">O26</f>
        <v>0</v>
      </c>
      <c r="P34" s="224">
        <f t="shared" si="16"/>
        <v>202226</v>
      </c>
      <c r="Q34" s="224">
        <f t="shared" si="16"/>
        <v>0</v>
      </c>
      <c r="R34" s="224">
        <f t="shared" si="16"/>
        <v>0</v>
      </c>
      <c r="S34" s="224">
        <f t="shared" si="16"/>
        <v>0</v>
      </c>
      <c r="T34" s="224">
        <f t="shared" si="16"/>
        <v>0</v>
      </c>
      <c r="U34" s="224">
        <f t="shared" si="16"/>
        <v>0</v>
      </c>
    </row>
    <row r="35" spans="1:23" ht="21" customHeight="1" thickBot="1">
      <c r="A35" s="9"/>
      <c r="B35" s="47"/>
      <c r="C35" s="46"/>
      <c r="D35" s="44"/>
      <c r="E35" s="53"/>
      <c r="F35" s="54" t="s">
        <v>63</v>
      </c>
      <c r="G35" s="55" t="s">
        <v>96</v>
      </c>
      <c r="H35" s="54" t="s">
        <v>63</v>
      </c>
      <c r="I35" s="55" t="s">
        <v>96</v>
      </c>
      <c r="J35" s="54" t="s">
        <v>63</v>
      </c>
      <c r="K35" s="55" t="s">
        <v>96</v>
      </c>
      <c r="M35" s="100" t="s">
        <v>11</v>
      </c>
      <c r="N35" s="225">
        <f t="shared" ref="N35:U35" si="17">SUM(N36:N40)</f>
        <v>0</v>
      </c>
      <c r="O35" s="225">
        <f t="shared" si="17"/>
        <v>0</v>
      </c>
      <c r="P35" s="225">
        <f t="shared" si="17"/>
        <v>0</v>
      </c>
      <c r="Q35" s="225">
        <f t="shared" si="17"/>
        <v>0</v>
      </c>
      <c r="R35" s="225">
        <f t="shared" si="17"/>
        <v>0</v>
      </c>
      <c r="S35" s="225">
        <f t="shared" si="17"/>
        <v>0</v>
      </c>
      <c r="T35" s="225">
        <f t="shared" si="17"/>
        <v>0</v>
      </c>
      <c r="U35" s="226">
        <f t="shared" si="17"/>
        <v>0</v>
      </c>
      <c r="W35" s="106" t="s">
        <v>126</v>
      </c>
    </row>
    <row r="36" spans="1:23" ht="21" customHeight="1">
      <c r="A36" s="9">
        <v>1</v>
      </c>
      <c r="B36" s="47">
        <v>0</v>
      </c>
      <c r="C36" s="46" t="s">
        <v>0</v>
      </c>
      <c r="D36" s="44">
        <v>3300000</v>
      </c>
      <c r="E36" s="48"/>
      <c r="F36" s="49"/>
      <c r="G36" s="52">
        <v>-1100000</v>
      </c>
      <c r="H36" s="49"/>
      <c r="I36" s="52">
        <v>-1000000</v>
      </c>
      <c r="J36" s="49"/>
      <c r="K36" s="52">
        <v>-900000</v>
      </c>
      <c r="M36" s="98"/>
      <c r="N36" s="227">
        <f>IF(N$24=1,IF(ABS($G$36)&gt;=N$34,0,IF(N$34&lt;=$D36,N$34+$G36,"     -")),IF(N$24=2,IF(ABS($I$36)&gt;=N$34,0,IF(N$34&lt;=$D36,N$34+$I36,"     -")),IF(N$24=3,IF(ABS($K$36)&gt;=N$34,0,IF(N$34&lt;=$D36,N$34+$K36,"     -")))))</f>
        <v>0</v>
      </c>
      <c r="O36" s="227">
        <f t="shared" ref="O36:U36" si="18">IF(O$24=1,IF(ABS($G$36)&gt;=O$34,0,IF(O$34&lt;=$D36,O$34+$G36,"     -")),IF(O$24=2,IF(ABS($I$36)&gt;=O$34,0,IF(O$34&lt;=$D36,O$34+$I36,"     -")),IF(O$24=3,IF(ABS($K$36)&gt;=O$34,0,IF(O$34&lt;=$D36,O$34+$K36,"     -")))))</f>
        <v>0</v>
      </c>
      <c r="P36" s="227">
        <f t="shared" si="18"/>
        <v>0</v>
      </c>
      <c r="Q36" s="227">
        <f t="shared" si="18"/>
        <v>0</v>
      </c>
      <c r="R36" s="227">
        <f t="shared" si="18"/>
        <v>0</v>
      </c>
      <c r="S36" s="227">
        <f t="shared" si="18"/>
        <v>0</v>
      </c>
      <c r="T36" s="227">
        <f t="shared" si="18"/>
        <v>0</v>
      </c>
      <c r="U36" s="227">
        <f t="shared" si="18"/>
        <v>0</v>
      </c>
    </row>
    <row r="37" spans="1:23" ht="21" customHeight="1">
      <c r="A37" s="9">
        <v>2</v>
      </c>
      <c r="B37" s="233">
        <f>D36+1</f>
        <v>3300001</v>
      </c>
      <c r="C37" s="46" t="s">
        <v>0</v>
      </c>
      <c r="D37" s="44">
        <v>4100000</v>
      </c>
      <c r="E37" s="48"/>
      <c r="F37" s="51">
        <v>0.25</v>
      </c>
      <c r="G37" s="50">
        <v>275000</v>
      </c>
      <c r="H37" s="51">
        <v>0.25</v>
      </c>
      <c r="I37" s="50">
        <v>175000</v>
      </c>
      <c r="J37" s="51">
        <v>0.25</v>
      </c>
      <c r="K37" s="50">
        <v>75000</v>
      </c>
      <c r="M37" s="9"/>
      <c r="N37" s="205" t="str">
        <f>IF(AND(N$24=1,$B37&lt;=N$34,N$34&lt;=$D37),N$34-(N$34*$F37+$G37),IF(AND(N$24=2,$B37&lt;=N$34,N$34&lt;=$D37),N$34-(N$34*$H37+$I37),IF(AND(N$24=3,$B37&lt;=N$34,N$34&lt;=$D37),N$34-(N$34*$J37+$K37),"     -")))</f>
        <v xml:space="preserve">     -</v>
      </c>
      <c r="O37" s="205" t="str">
        <f t="shared" ref="O37:U39" si="19">IF(AND(O$24=1,$B37&lt;=O$34,O$34&lt;=$D37),O$34-(O$34*$F37+$G37),IF(AND(O$24=2,$B37&lt;=O$34,O$34&lt;=$D37),O$34-(O$34*$H37+$I37),IF(AND(O$24=3,$B37&lt;=O$34,O$34&lt;=$D37),O$34-(O$34*$J37+$K37),"     -")))</f>
        <v xml:space="preserve">     -</v>
      </c>
      <c r="P37" s="205" t="str">
        <f t="shared" si="19"/>
        <v xml:space="preserve">     -</v>
      </c>
      <c r="Q37" s="205" t="str">
        <f t="shared" si="19"/>
        <v xml:space="preserve">     -</v>
      </c>
      <c r="R37" s="205" t="str">
        <f t="shared" si="19"/>
        <v xml:space="preserve">     -</v>
      </c>
      <c r="S37" s="205" t="str">
        <f t="shared" si="19"/>
        <v xml:space="preserve">     -</v>
      </c>
      <c r="T37" s="205" t="str">
        <f t="shared" si="19"/>
        <v xml:space="preserve">     -</v>
      </c>
      <c r="U37" s="205" t="str">
        <f t="shared" si="19"/>
        <v xml:space="preserve">     -</v>
      </c>
    </row>
    <row r="38" spans="1:23" ht="21" customHeight="1">
      <c r="A38" s="9">
        <v>3</v>
      </c>
      <c r="B38" s="233">
        <f t="shared" ref="B38:B40" si="20">D37+1</f>
        <v>4100001</v>
      </c>
      <c r="C38" s="46" t="s">
        <v>0</v>
      </c>
      <c r="D38" s="44">
        <v>7700000</v>
      </c>
      <c r="E38" s="48"/>
      <c r="F38" s="51">
        <v>0.15</v>
      </c>
      <c r="G38" s="50">
        <v>685000</v>
      </c>
      <c r="H38" s="51">
        <v>0.15</v>
      </c>
      <c r="I38" s="50">
        <v>585000</v>
      </c>
      <c r="J38" s="51">
        <v>0.15</v>
      </c>
      <c r="K38" s="50">
        <v>485000</v>
      </c>
      <c r="M38" s="9"/>
      <c r="N38" s="205" t="str">
        <f>IF(AND(N$24=1,$B38&lt;=N$34,N$34&lt;=$D38),N$34-(N$34*$F38+$G38),IF(AND(N$24=2,$B38&lt;=N$34,N$34&lt;=$D38),N$34-(N$34*$H38+$I38),IF(AND(N$24=3,$B38&lt;=N$34,N$34&lt;=$D38),N$34-(N$34*$J38+$K38),"     -")))</f>
        <v xml:space="preserve">     -</v>
      </c>
      <c r="O38" s="205" t="str">
        <f t="shared" si="19"/>
        <v xml:space="preserve">     -</v>
      </c>
      <c r="P38" s="205" t="str">
        <f t="shared" si="19"/>
        <v xml:space="preserve">     -</v>
      </c>
      <c r="Q38" s="205" t="str">
        <f t="shared" si="19"/>
        <v xml:space="preserve">     -</v>
      </c>
      <c r="R38" s="205" t="str">
        <f t="shared" si="19"/>
        <v xml:space="preserve">     -</v>
      </c>
      <c r="S38" s="205" t="str">
        <f t="shared" si="19"/>
        <v xml:space="preserve">     -</v>
      </c>
      <c r="T38" s="205" t="str">
        <f t="shared" si="19"/>
        <v xml:space="preserve">     -</v>
      </c>
      <c r="U38" s="205" t="str">
        <f t="shared" si="19"/>
        <v xml:space="preserve">     -</v>
      </c>
    </row>
    <row r="39" spans="1:23" ht="21" customHeight="1">
      <c r="A39" s="9">
        <v>4</v>
      </c>
      <c r="B39" s="233">
        <f t="shared" si="20"/>
        <v>7700001</v>
      </c>
      <c r="C39" s="46" t="s">
        <v>0</v>
      </c>
      <c r="D39" s="44">
        <v>10000000</v>
      </c>
      <c r="E39" s="48"/>
      <c r="F39" s="51">
        <v>0.05</v>
      </c>
      <c r="G39" s="50">
        <v>1455000</v>
      </c>
      <c r="H39" s="51">
        <v>0.05</v>
      </c>
      <c r="I39" s="50">
        <v>1355000</v>
      </c>
      <c r="J39" s="51">
        <v>0.05</v>
      </c>
      <c r="K39" s="50">
        <v>1255000</v>
      </c>
      <c r="M39" s="9"/>
      <c r="N39" s="205" t="str">
        <f>IF(AND(N$24=1,$B39&lt;=N$34,N$34&lt;=$D39),N$34-(N$34*$F39+$G39),IF(AND(N$24=2,$B39&lt;=N$34,N$34&lt;=$D39),N$34-(N$34*$H39+$I39),IF(AND(N$24=3,$B39&lt;=N$34,N$34&lt;=$D39),N$34-(N$34*$J39+$K39),"     -")))</f>
        <v xml:space="preserve">     -</v>
      </c>
      <c r="O39" s="205" t="str">
        <f t="shared" si="19"/>
        <v xml:space="preserve">     -</v>
      </c>
      <c r="P39" s="205" t="str">
        <f t="shared" si="19"/>
        <v xml:space="preserve">     -</v>
      </c>
      <c r="Q39" s="205" t="str">
        <f t="shared" si="19"/>
        <v xml:space="preserve">     -</v>
      </c>
      <c r="R39" s="205" t="str">
        <f t="shared" si="19"/>
        <v xml:space="preserve">     -</v>
      </c>
      <c r="S39" s="205" t="str">
        <f t="shared" si="19"/>
        <v xml:space="preserve">     -</v>
      </c>
      <c r="T39" s="205" t="str">
        <f t="shared" si="19"/>
        <v xml:space="preserve">     -</v>
      </c>
      <c r="U39" s="205" t="str">
        <f t="shared" si="19"/>
        <v xml:space="preserve">     -</v>
      </c>
    </row>
    <row r="40" spans="1:23" ht="21" customHeight="1">
      <c r="A40" s="9">
        <v>5</v>
      </c>
      <c r="B40" s="233">
        <f t="shared" si="20"/>
        <v>10000001</v>
      </c>
      <c r="C40" s="46" t="s">
        <v>0</v>
      </c>
      <c r="D40" s="44"/>
      <c r="E40" s="48"/>
      <c r="F40" s="51"/>
      <c r="G40" s="50">
        <v>1955000</v>
      </c>
      <c r="H40" s="51"/>
      <c r="I40" s="50">
        <v>1855000</v>
      </c>
      <c r="J40" s="51"/>
      <c r="K40" s="50">
        <v>1755000</v>
      </c>
      <c r="M40" s="9"/>
      <c r="N40" s="205" t="str">
        <f t="shared" ref="N40:U40" si="21">IF(AND(N$24=1,$B40&lt;=N$34),N$34-$G40,IF(AND(N$24=2,$B40&lt;=N$34),N$34-$I40,IF(AND(N$24=3,$B40&lt;=N$34),N$34-$K40,"     -")))</f>
        <v xml:space="preserve">     -</v>
      </c>
      <c r="O40" s="205" t="str">
        <f t="shared" si="21"/>
        <v xml:space="preserve">     -</v>
      </c>
      <c r="P40" s="205" t="str">
        <f t="shared" si="21"/>
        <v xml:space="preserve">     -</v>
      </c>
      <c r="Q40" s="205" t="str">
        <f t="shared" si="21"/>
        <v xml:space="preserve">     -</v>
      </c>
      <c r="R40" s="205" t="str">
        <f t="shared" si="21"/>
        <v xml:space="preserve">     -</v>
      </c>
      <c r="S40" s="205" t="str">
        <f t="shared" si="21"/>
        <v xml:space="preserve">     -</v>
      </c>
      <c r="T40" s="205" t="str">
        <f t="shared" si="21"/>
        <v xml:space="preserve">     -</v>
      </c>
      <c r="U40" s="205" t="str">
        <f t="shared" si="21"/>
        <v xml:space="preserve">     -</v>
      </c>
    </row>
    <row r="45" spans="1:23" ht="22.5" customHeight="1">
      <c r="E45" s="101"/>
    </row>
  </sheetData>
  <mergeCells count="5">
    <mergeCell ref="F23:F24"/>
    <mergeCell ref="H23:H24"/>
    <mergeCell ref="J23:J24"/>
    <mergeCell ref="B2:E2"/>
    <mergeCell ref="B21:E21"/>
  </mergeCells>
  <phoneticPr fontId="2"/>
  <printOptions horizontalCentered="1"/>
  <pageMargins left="0.39370078740157483" right="0.39370078740157483" top="0.70866141732283472" bottom="0.19685039370078741" header="0.55118110236220474" footer="0.19685039370078741"/>
  <pageSetup paperSize="9" scale="64" orientation="landscape" cellComments="asDisplayed" r:id="rId1"/>
  <headerFooter>
    <oddFooter>&amp;R&amp;"AR P丸ゴシック体M,標準"&amp;8&amp;Z&amp;F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試算</vt:lpstr>
      <vt:lpstr>計算根拠</vt:lpstr>
      <vt:lpstr>所得額</vt:lpstr>
      <vt:lpstr>計算根拠!Print_Area</vt:lpstr>
      <vt:lpstr>試算!Print_Area</vt:lpstr>
      <vt:lpstr>所得額!Print_Area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2016-08-23T04:07:58Z</dcterms:created>
  <dcterms:modified xsi:type="dcterms:W3CDTF">2026-05-29T03:59:44Z</dcterms:modified>
</cp:coreProperties>
</file>